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https://d.docs.live.net/15d457f752f27dc3/Grønne sammen Projekt/"/>
    </mc:Choice>
  </mc:AlternateContent>
  <xr:revisionPtr revIDLastSave="884" documentId="11_AD4D1D646341095ACB70002EA595DA8A693EDF2F" xr6:coauthVersionLast="46" xr6:coauthVersionMax="46" xr10:uidLastSave="{3EE006E9-5B99-4FFF-977C-2A0F22FBA393}"/>
  <bookViews>
    <workbookView xWindow="-108" yWindow="-108" windowWidth="23256" windowHeight="12576" xr2:uid="{00000000-000D-0000-FFFF-FFFF00000000}"/>
  </bookViews>
  <sheets>
    <sheet name="Nøgletal" sheetId="2" r:id="rId1"/>
    <sheet name="Affald og spildevand" sheetId="3" r:id="rId2"/>
    <sheet name="Landbrug" sheetId="4" r:id="rId3"/>
    <sheet name="Arealanvendelse" sheetId="5" r:id="rId4"/>
    <sheet name="Industri" sheetId="6" r:id="rId5"/>
    <sheet name=" Transport 2018" sheetId="7" r:id="rId6"/>
    <sheet name=" Transport 1990" sheetId="9" r:id="rId7"/>
    <sheet name="Energiregnskab, 2018" sheetId="10" r:id="rId8"/>
    <sheet name="Energiregnskab, 1990" sheetId="11" r:id="rId9"/>
  </sheets>
  <definedNames>
    <definedName name="_xlnm.Print_Area" localSheetId="7">'Energiregnskab, 2018'!$A$1:$AQ$91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86" i="11" l="1"/>
  <c r="V86" i="11"/>
  <c r="U86" i="11"/>
  <c r="T86" i="11"/>
  <c r="S86" i="11"/>
  <c r="R86" i="11"/>
  <c r="Q86" i="11"/>
  <c r="P86" i="11"/>
  <c r="O86" i="11"/>
  <c r="N86" i="11"/>
  <c r="M86" i="11"/>
  <c r="L86" i="11"/>
  <c r="K86" i="11"/>
  <c r="J86" i="11"/>
  <c r="I86" i="11"/>
  <c r="H86" i="11"/>
  <c r="G86" i="11"/>
  <c r="F86" i="11"/>
  <c r="E86" i="11"/>
  <c r="D86" i="11"/>
  <c r="C86" i="11"/>
  <c r="B86" i="11"/>
  <c r="W84" i="11"/>
  <c r="V84" i="11"/>
  <c r="U84" i="11"/>
  <c r="T84" i="11"/>
  <c r="S84" i="11"/>
  <c r="P84" i="11"/>
  <c r="N84" i="11"/>
  <c r="M84" i="11"/>
  <c r="L84" i="11"/>
  <c r="K84" i="11"/>
  <c r="J84" i="11"/>
  <c r="X83" i="11"/>
  <c r="R82" i="11"/>
  <c r="P82" i="11"/>
  <c r="I82" i="11"/>
  <c r="G82" i="11"/>
  <c r="W81" i="11"/>
  <c r="W82" i="11" s="1"/>
  <c r="V81" i="11"/>
  <c r="V82" i="11" s="1"/>
  <c r="U81" i="11"/>
  <c r="U82" i="11" s="1"/>
  <c r="S81" i="11"/>
  <c r="S82" i="11" s="1"/>
  <c r="R81" i="11"/>
  <c r="R84" i="11" s="1"/>
  <c r="Q81" i="11"/>
  <c r="Q82" i="11" s="1"/>
  <c r="P81" i="11"/>
  <c r="M81" i="11"/>
  <c r="M82" i="11" s="1"/>
  <c r="L81" i="11"/>
  <c r="L82" i="11" s="1"/>
  <c r="K81" i="11"/>
  <c r="K82" i="11" s="1"/>
  <c r="J81" i="11"/>
  <c r="J82" i="11" s="1"/>
  <c r="I81" i="11"/>
  <c r="H81" i="11"/>
  <c r="H82" i="11" s="1"/>
  <c r="G81" i="11"/>
  <c r="F81" i="11"/>
  <c r="F82" i="11" s="1"/>
  <c r="E81" i="11"/>
  <c r="E82" i="11" s="1"/>
  <c r="D81" i="11"/>
  <c r="D82" i="11" s="1"/>
  <c r="C81" i="11"/>
  <c r="C82" i="11" s="1"/>
  <c r="B81" i="11"/>
  <c r="B82" i="11" s="1"/>
  <c r="X80" i="11"/>
  <c r="AQ80" i="11" s="1"/>
  <c r="AH80" i="11" s="1"/>
  <c r="AQ79" i="11"/>
  <c r="AH79" i="11" s="1"/>
  <c r="X79" i="11"/>
  <c r="AD78" i="11"/>
  <c r="X78" i="11"/>
  <c r="AQ78" i="11" s="1"/>
  <c r="AH78" i="11" s="1"/>
  <c r="X77" i="11"/>
  <c r="AP77" i="11" s="1"/>
  <c r="AH77" i="11" s="1"/>
  <c r="X76" i="11"/>
  <c r="AQ76" i="11" s="1"/>
  <c r="AH76" i="11" s="1"/>
  <c r="AQ75" i="11"/>
  <c r="AH75" i="11"/>
  <c r="X75" i="11"/>
  <c r="AQ74" i="11"/>
  <c r="AH74" i="11" s="1"/>
  <c r="X74" i="11"/>
  <c r="X73" i="11"/>
  <c r="AQ73" i="11" s="1"/>
  <c r="AH73" i="11" s="1"/>
  <c r="X72" i="11"/>
  <c r="AQ72" i="11" s="1"/>
  <c r="AH72" i="11" s="1"/>
  <c r="AC71" i="11"/>
  <c r="X71" i="11"/>
  <c r="AN70" i="11"/>
  <c r="AH70" i="11"/>
  <c r="X70" i="11"/>
  <c r="AN69" i="11"/>
  <c r="AH69" i="11" s="1"/>
  <c r="AD69" i="11"/>
  <c r="X69" i="11"/>
  <c r="AH68" i="11"/>
  <c r="X68" i="11"/>
  <c r="AD68" i="11" s="1"/>
  <c r="AH67" i="11"/>
  <c r="AF67" i="11"/>
  <c r="X67" i="11"/>
  <c r="AD67" i="11" s="1"/>
  <c r="AH66" i="11"/>
  <c r="T66" i="11"/>
  <c r="T81" i="11" s="1"/>
  <c r="T82" i="11" s="1"/>
  <c r="O66" i="11"/>
  <c r="O81" i="11" s="1"/>
  <c r="AH65" i="11"/>
  <c r="AF65" i="11"/>
  <c r="AD65" i="11"/>
  <c r="X65" i="11"/>
  <c r="AH64" i="11"/>
  <c r="X64" i="11"/>
  <c r="AD64" i="11" s="1"/>
  <c r="AH63" i="11"/>
  <c r="AF63" i="11"/>
  <c r="AD63" i="11"/>
  <c r="X63" i="11"/>
  <c r="AC62" i="11"/>
  <c r="X62" i="11"/>
  <c r="AH61" i="11"/>
  <c r="AF61" i="11"/>
  <c r="AD61" i="11"/>
  <c r="X61" i="11"/>
  <c r="AH60" i="11"/>
  <c r="AF60" i="11"/>
  <c r="X60" i="11"/>
  <c r="AF59" i="11"/>
  <c r="X59" i="11"/>
  <c r="AF58" i="11"/>
  <c r="X58" i="11"/>
  <c r="AF57" i="11"/>
  <c r="AD57" i="11"/>
  <c r="X57" i="11"/>
  <c r="AH56" i="11"/>
  <c r="AF56" i="11"/>
  <c r="AF62" i="11" s="1"/>
  <c r="AG62" i="11" s="1"/>
  <c r="X56" i="11"/>
  <c r="AC55" i="11"/>
  <c r="X55" i="11"/>
  <c r="AH54" i="11"/>
  <c r="AF54" i="11"/>
  <c r="AD54" i="11"/>
  <c r="X54" i="11"/>
  <c r="AH53" i="11"/>
  <c r="X53" i="11"/>
  <c r="AF53" i="11" s="1"/>
  <c r="AF55" i="11" s="1"/>
  <c r="AG55" i="11" s="1"/>
  <c r="AC52" i="11"/>
  <c r="X52" i="11"/>
  <c r="AH51" i="11"/>
  <c r="X51" i="11"/>
  <c r="AF51" i="11" s="1"/>
  <c r="AH50" i="11"/>
  <c r="X50" i="11"/>
  <c r="AF50" i="11" s="1"/>
  <c r="AD49" i="11"/>
  <c r="X49" i="11"/>
  <c r="AF49" i="11" s="1"/>
  <c r="AD48" i="11"/>
  <c r="X48" i="11"/>
  <c r="AF48" i="11" s="1"/>
  <c r="N48" i="11"/>
  <c r="AH47" i="11"/>
  <c r="AD47" i="11"/>
  <c r="X47" i="11"/>
  <c r="AF47" i="11" s="1"/>
  <c r="AH46" i="11"/>
  <c r="AF46" i="11"/>
  <c r="AD46" i="11"/>
  <c r="X46" i="11"/>
  <c r="AH45" i="11"/>
  <c r="AD45" i="11"/>
  <c r="X45" i="11"/>
  <c r="AF45" i="11" s="1"/>
  <c r="AH44" i="11"/>
  <c r="AF44" i="11"/>
  <c r="AD44" i="11"/>
  <c r="X44" i="11"/>
  <c r="AC43" i="11"/>
  <c r="X43" i="11"/>
  <c r="AH42" i="11"/>
  <c r="AF42" i="11"/>
  <c r="AD42" i="11"/>
  <c r="X42" i="11"/>
  <c r="AH41" i="11"/>
  <c r="AD41" i="11"/>
  <c r="X41" i="11"/>
  <c r="AF41" i="11" s="1"/>
  <c r="AH40" i="11"/>
  <c r="AF40" i="11"/>
  <c r="AD40" i="11"/>
  <c r="X40" i="11"/>
  <c r="AC39" i="11"/>
  <c r="X39" i="11"/>
  <c r="AF38" i="11"/>
  <c r="AD38" i="11"/>
  <c r="X38" i="11"/>
  <c r="AF37" i="11"/>
  <c r="AD37" i="11"/>
  <c r="X37" i="11"/>
  <c r="AH36" i="11"/>
  <c r="X36" i="11"/>
  <c r="AF36" i="11" s="1"/>
  <c r="AH35" i="11"/>
  <c r="X35" i="11"/>
  <c r="AD35" i="11" s="1"/>
  <c r="AH34" i="11"/>
  <c r="AF34" i="11"/>
  <c r="X34" i="11"/>
  <c r="AD34" i="11" s="1"/>
  <c r="AH33" i="11"/>
  <c r="X33" i="11"/>
  <c r="AD33" i="11" s="1"/>
  <c r="AH32" i="11"/>
  <c r="AF32" i="11"/>
  <c r="X32" i="11"/>
  <c r="AD32" i="11" s="1"/>
  <c r="X31" i="11"/>
  <c r="AH30" i="11"/>
  <c r="X30" i="11"/>
  <c r="AD30" i="11" s="1"/>
  <c r="AH29" i="11"/>
  <c r="AD29" i="11"/>
  <c r="X29" i="11"/>
  <c r="AH28" i="11"/>
  <c r="X28" i="11"/>
  <c r="AD28" i="11" s="1"/>
  <c r="AH27" i="11"/>
  <c r="AD27" i="11"/>
  <c r="X27" i="11"/>
  <c r="AH26" i="11"/>
  <c r="X26" i="11"/>
  <c r="AD26" i="11" s="1"/>
  <c r="AN25" i="11"/>
  <c r="AH25" i="11"/>
  <c r="X25" i="11"/>
  <c r="AN24" i="11"/>
  <c r="AH24" i="11" s="1"/>
  <c r="X24" i="11"/>
  <c r="X23" i="11"/>
  <c r="AN23" i="11" s="1"/>
  <c r="AH23" i="11" s="1"/>
  <c r="X22" i="11"/>
  <c r="AI22" i="11" s="1"/>
  <c r="AH22" i="11" s="1"/>
  <c r="AI21" i="11"/>
  <c r="AH21" i="11"/>
  <c r="X21" i="11"/>
  <c r="X20" i="11"/>
  <c r="AI20" i="11" s="1"/>
  <c r="AH20" i="11" s="1"/>
  <c r="AI19" i="11"/>
  <c r="AH19" i="11"/>
  <c r="X19" i="11"/>
  <c r="AI18" i="11"/>
  <c r="AH18" i="11" s="1"/>
  <c r="X18" i="11"/>
  <c r="AI17" i="11"/>
  <c r="AH17" i="11"/>
  <c r="X17" i="11"/>
  <c r="AQ16" i="11"/>
  <c r="AN16" i="11"/>
  <c r="AK16" i="11"/>
  <c r="AJ16" i="11"/>
  <c r="AI16" i="11"/>
  <c r="X16" i="11"/>
  <c r="AP16" i="11" s="1"/>
  <c r="AP81" i="11" s="1"/>
  <c r="AH15" i="11"/>
  <c r="AI14" i="11"/>
  <c r="AD14" i="11"/>
  <c r="AH13" i="11"/>
  <c r="AE13" i="11" s="1"/>
  <c r="AD13" i="11" s="1"/>
  <c r="X13" i="11"/>
  <c r="AH12" i="11"/>
  <c r="AE12" i="11"/>
  <c r="AD12" i="11" s="1"/>
  <c r="X12" i="11"/>
  <c r="AH11" i="11"/>
  <c r="AE11" i="11" s="1"/>
  <c r="AD11" i="11" s="1"/>
  <c r="X11" i="11"/>
  <c r="AH10" i="11"/>
  <c r="AE10" i="11"/>
  <c r="AD10" i="11" s="1"/>
  <c r="X10" i="11"/>
  <c r="AH9" i="11"/>
  <c r="AE9" i="11" s="1"/>
  <c r="AD9" i="11" s="1"/>
  <c r="X9" i="11"/>
  <c r="AH8" i="11"/>
  <c r="AE8" i="11"/>
  <c r="AD8" i="11" s="1"/>
  <c r="X8" i="11"/>
  <c r="W86" i="10"/>
  <c r="V86" i="10"/>
  <c r="U86" i="10"/>
  <c r="T86" i="10"/>
  <c r="S86" i="10"/>
  <c r="R86" i="10"/>
  <c r="Q86" i="10"/>
  <c r="P86" i="10"/>
  <c r="O86" i="10"/>
  <c r="N86" i="10"/>
  <c r="M86" i="10"/>
  <c r="L86" i="10"/>
  <c r="K86" i="10"/>
  <c r="J86" i="10"/>
  <c r="I86" i="10"/>
  <c r="H86" i="10"/>
  <c r="G86" i="10"/>
  <c r="F86" i="10"/>
  <c r="E86" i="10"/>
  <c r="D86" i="10"/>
  <c r="C86" i="10"/>
  <c r="B86" i="10"/>
  <c r="W84" i="10"/>
  <c r="V84" i="10"/>
  <c r="U84" i="10"/>
  <c r="T84" i="10"/>
  <c r="S84" i="10"/>
  <c r="N84" i="10"/>
  <c r="M84" i="10"/>
  <c r="L84" i="10"/>
  <c r="K84" i="10"/>
  <c r="J84" i="10"/>
  <c r="X83" i="10"/>
  <c r="S82" i="10"/>
  <c r="R82" i="10"/>
  <c r="K82" i="10"/>
  <c r="J82" i="10"/>
  <c r="G82" i="10"/>
  <c r="C82" i="10"/>
  <c r="B82" i="10"/>
  <c r="W81" i="10"/>
  <c r="W82" i="10" s="1"/>
  <c r="V81" i="10"/>
  <c r="V82" i="10" s="1"/>
  <c r="U81" i="10"/>
  <c r="U82" i="10" s="1"/>
  <c r="S81" i="10"/>
  <c r="R81" i="10"/>
  <c r="R84" i="10" s="1"/>
  <c r="Q81" i="10"/>
  <c r="Q82" i="10" s="1"/>
  <c r="M81" i="10"/>
  <c r="M82" i="10" s="1"/>
  <c r="L81" i="10"/>
  <c r="L82" i="10" s="1"/>
  <c r="K81" i="10"/>
  <c r="J81" i="10"/>
  <c r="G81" i="10"/>
  <c r="E81" i="10"/>
  <c r="E82" i="10" s="1"/>
  <c r="D81" i="10"/>
  <c r="D82" i="10" s="1"/>
  <c r="C81" i="10"/>
  <c r="B81" i="10"/>
  <c r="AQ80" i="10"/>
  <c r="AH80" i="10"/>
  <c r="X80" i="10"/>
  <c r="AQ79" i="10"/>
  <c r="AH79" i="10" s="1"/>
  <c r="X79" i="10"/>
  <c r="AD78" i="10"/>
  <c r="X78" i="10"/>
  <c r="AQ78" i="10" s="1"/>
  <c r="AH78" i="10" s="1"/>
  <c r="X77" i="10"/>
  <c r="AP77" i="10" s="1"/>
  <c r="P76" i="10"/>
  <c r="F76" i="10"/>
  <c r="X76" i="10" s="1"/>
  <c r="AQ76" i="10" s="1"/>
  <c r="AH76" i="10" s="1"/>
  <c r="X75" i="10"/>
  <c r="AQ75" i="10" s="1"/>
  <c r="AH75" i="10" s="1"/>
  <c r="P75" i="10"/>
  <c r="F75" i="10"/>
  <c r="P74" i="10"/>
  <c r="F74" i="10"/>
  <c r="X74" i="10" s="1"/>
  <c r="AQ74" i="10" s="1"/>
  <c r="AH74" i="10" s="1"/>
  <c r="P73" i="10"/>
  <c r="F73" i="10"/>
  <c r="F81" i="10" s="1"/>
  <c r="F82" i="10" s="1"/>
  <c r="X72" i="10"/>
  <c r="AQ72" i="10" s="1"/>
  <c r="AH72" i="10" s="1"/>
  <c r="P72" i="10"/>
  <c r="P81" i="10" s="1"/>
  <c r="H72" i="10"/>
  <c r="H81" i="10" s="1"/>
  <c r="H82" i="10" s="1"/>
  <c r="AC71" i="10"/>
  <c r="X71" i="10"/>
  <c r="AN70" i="10"/>
  <c r="AH70" i="10"/>
  <c r="X70" i="10"/>
  <c r="AN69" i="10"/>
  <c r="AH69" i="10" s="1"/>
  <c r="AE69" i="10"/>
  <c r="AD69" i="10" s="1"/>
  <c r="X69" i="10"/>
  <c r="AH68" i="10"/>
  <c r="AD68" i="10"/>
  <c r="X68" i="10"/>
  <c r="AH67" i="10"/>
  <c r="AD67" i="10"/>
  <c r="X67" i="10"/>
  <c r="AF67" i="10" s="1"/>
  <c r="AH66" i="10"/>
  <c r="AF66" i="10"/>
  <c r="AD66" i="10"/>
  <c r="X66" i="10"/>
  <c r="T66" i="10"/>
  <c r="O66" i="10"/>
  <c r="AH65" i="10"/>
  <c r="X65" i="10"/>
  <c r="AD65" i="10" s="1"/>
  <c r="AH64" i="10"/>
  <c r="T64" i="10"/>
  <c r="O64" i="10"/>
  <c r="X64" i="10" s="1"/>
  <c r="AH63" i="10"/>
  <c r="AF63" i="10"/>
  <c r="AD63" i="10"/>
  <c r="X63" i="10"/>
  <c r="AC62" i="10"/>
  <c r="X62" i="10"/>
  <c r="AH61" i="10"/>
  <c r="AF61" i="10"/>
  <c r="AD61" i="10"/>
  <c r="X61" i="10"/>
  <c r="AH60" i="10"/>
  <c r="X60" i="10"/>
  <c r="AF60" i="10" s="1"/>
  <c r="X59" i="10"/>
  <c r="AF59" i="10" s="1"/>
  <c r="AF58" i="10"/>
  <c r="AD58" i="10"/>
  <c r="X58" i="10"/>
  <c r="AF57" i="10"/>
  <c r="N57" i="10" s="1"/>
  <c r="X57" i="10" s="1"/>
  <c r="AD57" i="10"/>
  <c r="AH56" i="10"/>
  <c r="X56" i="10"/>
  <c r="AF56" i="10" s="1"/>
  <c r="AF62" i="10" s="1"/>
  <c r="AG62" i="10" s="1"/>
  <c r="AC55" i="10"/>
  <c r="X55" i="10"/>
  <c r="AH54" i="10"/>
  <c r="X54" i="10"/>
  <c r="AD54" i="10" s="1"/>
  <c r="AH53" i="10"/>
  <c r="T53" i="10"/>
  <c r="O53" i="10"/>
  <c r="X53" i="10" s="1"/>
  <c r="AC52" i="10"/>
  <c r="X52" i="10"/>
  <c r="AH51" i="10"/>
  <c r="X51" i="10"/>
  <c r="AF51" i="10" s="1"/>
  <c r="AH50" i="10"/>
  <c r="AF50" i="10"/>
  <c r="X50" i="10"/>
  <c r="AF49" i="10"/>
  <c r="AD49" i="10"/>
  <c r="X49" i="10"/>
  <c r="AF48" i="10"/>
  <c r="AD48" i="10"/>
  <c r="N48" i="10"/>
  <c r="X48" i="10" s="1"/>
  <c r="AH47" i="10"/>
  <c r="T47" i="10"/>
  <c r="O47" i="10"/>
  <c r="X47" i="10" s="1"/>
  <c r="AH46" i="10"/>
  <c r="AF46" i="10"/>
  <c r="AD46" i="10"/>
  <c r="X46" i="10"/>
  <c r="AH45" i="10"/>
  <c r="T45" i="10"/>
  <c r="O45" i="10"/>
  <c r="X45" i="10" s="1"/>
  <c r="AH44" i="10"/>
  <c r="AF44" i="10"/>
  <c r="X44" i="10"/>
  <c r="AD44" i="10" s="1"/>
  <c r="AC43" i="10"/>
  <c r="X43" i="10"/>
  <c r="AH42" i="10"/>
  <c r="AF42" i="10"/>
  <c r="X42" i="10"/>
  <c r="AD42" i="10" s="1"/>
  <c r="AH41" i="10"/>
  <c r="X41" i="10"/>
  <c r="AF41" i="10" s="1"/>
  <c r="AF43" i="10" s="1"/>
  <c r="AG43" i="10" s="1"/>
  <c r="AH40" i="10"/>
  <c r="AF40" i="10"/>
  <c r="X40" i="10"/>
  <c r="AD40" i="10" s="1"/>
  <c r="AC39" i="10"/>
  <c r="X39" i="10"/>
  <c r="AF38" i="10"/>
  <c r="AD38" i="10"/>
  <c r="X38" i="10"/>
  <c r="AF37" i="10"/>
  <c r="AD37" i="10"/>
  <c r="N37" i="10"/>
  <c r="X37" i="10" s="1"/>
  <c r="AH36" i="10"/>
  <c r="AF36" i="10"/>
  <c r="X36" i="10"/>
  <c r="AH35" i="10"/>
  <c r="X35" i="10"/>
  <c r="AF35" i="10" s="1"/>
  <c r="AH34" i="10"/>
  <c r="AF34" i="10"/>
  <c r="AD34" i="10"/>
  <c r="X34" i="10"/>
  <c r="AH33" i="10"/>
  <c r="X33" i="10"/>
  <c r="AF33" i="10" s="1"/>
  <c r="AH32" i="10"/>
  <c r="AF32" i="10"/>
  <c r="AD32" i="10"/>
  <c r="X32" i="10"/>
  <c r="T32" i="10"/>
  <c r="O32" i="10"/>
  <c r="T31" i="10"/>
  <c r="T81" i="10" s="1"/>
  <c r="T82" i="10" s="1"/>
  <c r="O31" i="10"/>
  <c r="O81" i="10" s="1"/>
  <c r="I31" i="10"/>
  <c r="I81" i="10" s="1"/>
  <c r="I82" i="10" s="1"/>
  <c r="AH30" i="10"/>
  <c r="AD30" i="10"/>
  <c r="X30" i="10"/>
  <c r="AH29" i="10"/>
  <c r="X29" i="10"/>
  <c r="AD29" i="10" s="1"/>
  <c r="AH28" i="10"/>
  <c r="AD28" i="10"/>
  <c r="X28" i="10"/>
  <c r="AH27" i="10"/>
  <c r="X27" i="10"/>
  <c r="AD27" i="10" s="1"/>
  <c r="AH26" i="10"/>
  <c r="X26" i="10"/>
  <c r="AD26" i="10" s="1"/>
  <c r="AN25" i="10"/>
  <c r="AH25" i="10" s="1"/>
  <c r="X25" i="10"/>
  <c r="X24" i="10"/>
  <c r="AN24" i="10" s="1"/>
  <c r="AH24" i="10" s="1"/>
  <c r="X23" i="10"/>
  <c r="AN23" i="10" s="1"/>
  <c r="AH23" i="10" s="1"/>
  <c r="AI22" i="10"/>
  <c r="AH22" i="10" s="1"/>
  <c r="X22" i="10"/>
  <c r="X21" i="10"/>
  <c r="AI21" i="10" s="1"/>
  <c r="AH21" i="10" s="1"/>
  <c r="X20" i="10"/>
  <c r="AI20" i="10" s="1"/>
  <c r="AH20" i="10" s="1"/>
  <c r="AI19" i="10"/>
  <c r="AH19" i="10" s="1"/>
  <c r="X19" i="10"/>
  <c r="X18" i="10"/>
  <c r="AI18" i="10" s="1"/>
  <c r="AH18" i="10" s="1"/>
  <c r="AI17" i="10"/>
  <c r="AH17" i="10" s="1"/>
  <c r="X17" i="10"/>
  <c r="X16" i="10"/>
  <c r="AQ16" i="10" s="1"/>
  <c r="AH15" i="10"/>
  <c r="AI14" i="10"/>
  <c r="AD14" i="10"/>
  <c r="AH13" i="10"/>
  <c r="AE13" i="10" s="1"/>
  <c r="AD13" i="10" s="1"/>
  <c r="X13" i="10"/>
  <c r="AH12" i="10"/>
  <c r="AE12" i="10"/>
  <c r="AD12" i="10"/>
  <c r="X12" i="10"/>
  <c r="AH11" i="10"/>
  <c r="AE11" i="10" s="1"/>
  <c r="AD11" i="10" s="1"/>
  <c r="X11" i="10"/>
  <c r="AH10" i="10"/>
  <c r="AE10" i="10"/>
  <c r="AD10" i="10"/>
  <c r="X10" i="10"/>
  <c r="AH9" i="10"/>
  <c r="AE9" i="10" s="1"/>
  <c r="AD9" i="10" s="1"/>
  <c r="X9" i="10"/>
  <c r="AH8" i="10"/>
  <c r="AE8" i="10"/>
  <c r="AD8" i="10"/>
  <c r="X8" i="10"/>
  <c r="AF43" i="11" l="1"/>
  <c r="AG43" i="11" s="1"/>
  <c r="AQ81" i="11"/>
  <c r="O84" i="11"/>
  <c r="O82" i="11"/>
  <c r="X84" i="11"/>
  <c r="AJ55" i="11"/>
  <c r="AO55" i="11"/>
  <c r="AN55" i="11"/>
  <c r="AM55" i="11"/>
  <c r="AK55" i="11"/>
  <c r="AI55" i="11"/>
  <c r="AL55" i="11"/>
  <c r="AF52" i="11"/>
  <c r="AG52" i="11" s="1"/>
  <c r="AM62" i="11"/>
  <c r="AL62" i="11"/>
  <c r="AK62" i="11"/>
  <c r="AJ62" i="11"/>
  <c r="AI62" i="11"/>
  <c r="AN62" i="11"/>
  <c r="AO62" i="11"/>
  <c r="AF64" i="11"/>
  <c r="Q84" i="11"/>
  <c r="AF33" i="11"/>
  <c r="AF39" i="11" s="1"/>
  <c r="AG39" i="11" s="1"/>
  <c r="AL16" i="11"/>
  <c r="AD51" i="11"/>
  <c r="AD53" i="11"/>
  <c r="AM16" i="11"/>
  <c r="AE81" i="11"/>
  <c r="AF35" i="11"/>
  <c r="X66" i="11"/>
  <c r="AH14" i="11"/>
  <c r="AO62" i="10"/>
  <c r="AK62" i="10"/>
  <c r="AJ62" i="10"/>
  <c r="AN62" i="10"/>
  <c r="AM62" i="10"/>
  <c r="AI62" i="10"/>
  <c r="AH62" i="10" s="1"/>
  <c r="AL62" i="10"/>
  <c r="AF47" i="10"/>
  <c r="AD47" i="10"/>
  <c r="AF53" i="10"/>
  <c r="AD53" i="10"/>
  <c r="AH77" i="10"/>
  <c r="AP81" i="10"/>
  <c r="O84" i="10"/>
  <c r="O82" i="10"/>
  <c r="X84" i="10"/>
  <c r="AF45" i="10"/>
  <c r="AD45" i="10"/>
  <c r="AE81" i="10"/>
  <c r="AF64" i="10"/>
  <c r="AF71" i="10" s="1"/>
  <c r="AG71" i="10" s="1"/>
  <c r="AD64" i="10"/>
  <c r="AK43" i="10"/>
  <c r="AJ43" i="10"/>
  <c r="AL43" i="10"/>
  <c r="AI43" i="10"/>
  <c r="AM43" i="10"/>
  <c r="AN43" i="10"/>
  <c r="AO43" i="10"/>
  <c r="AF39" i="10"/>
  <c r="AG39" i="10" s="1"/>
  <c r="P82" i="10"/>
  <c r="P84" i="10"/>
  <c r="AF54" i="10"/>
  <c r="AH14" i="10"/>
  <c r="N14" i="10" s="1"/>
  <c r="AI16" i="10"/>
  <c r="X31" i="10"/>
  <c r="AD33" i="10"/>
  <c r="AD35" i="10"/>
  <c r="AD51" i="10"/>
  <c r="AF65" i="10"/>
  <c r="Q84" i="10"/>
  <c r="AD41" i="10"/>
  <c r="AD15" i="10" s="1"/>
  <c r="AN16" i="10"/>
  <c r="X73" i="10"/>
  <c r="AQ73" i="10" s="1"/>
  <c r="AH73" i="10" s="1"/>
  <c r="AF66" i="11" l="1"/>
  <c r="AF71" i="11" s="1"/>
  <c r="AD66" i="11"/>
  <c r="AD15" i="11" s="1"/>
  <c r="AH55" i="11"/>
  <c r="N14" i="11"/>
  <c r="AH62" i="11"/>
  <c r="AN52" i="11"/>
  <c r="AL52" i="11"/>
  <c r="AK52" i="11"/>
  <c r="AO52" i="11"/>
  <c r="AM52" i="11"/>
  <c r="AJ52" i="11"/>
  <c r="AI52" i="11"/>
  <c r="AO43" i="11"/>
  <c r="AN43" i="11"/>
  <c r="AM43" i="11"/>
  <c r="AL43" i="11"/>
  <c r="AK43" i="11"/>
  <c r="AJ43" i="11"/>
  <c r="AI43" i="11"/>
  <c r="AH43" i="11" s="1"/>
  <c r="AN39" i="11"/>
  <c r="AM39" i="11"/>
  <c r="AI39" i="11"/>
  <c r="AL39" i="11"/>
  <c r="AK39" i="11"/>
  <c r="AO39" i="11"/>
  <c r="AJ39" i="11"/>
  <c r="AH16" i="11"/>
  <c r="AI71" i="10"/>
  <c r="AJ71" i="10"/>
  <c r="AO71" i="10"/>
  <c r="AL71" i="10"/>
  <c r="AK71" i="10"/>
  <c r="AN71" i="10"/>
  <c r="AM71" i="10"/>
  <c r="A15" i="10"/>
  <c r="AD81" i="10"/>
  <c r="AH16" i="10"/>
  <c r="AH43" i="10"/>
  <c r="AQ81" i="10"/>
  <c r="N81" i="10"/>
  <c r="X14" i="10"/>
  <c r="AK39" i="10"/>
  <c r="AJ39" i="10"/>
  <c r="AN39" i="10"/>
  <c r="AI39" i="10"/>
  <c r="AH39" i="10" s="1"/>
  <c r="AM39" i="10"/>
  <c r="AO39" i="10"/>
  <c r="AL39" i="10"/>
  <c r="AF52" i="10"/>
  <c r="AG52" i="10" s="1"/>
  <c r="AF55" i="10"/>
  <c r="AG55" i="10" s="1"/>
  <c r="AG71" i="11" l="1"/>
  <c r="AF81" i="11"/>
  <c r="Z83" i="11"/>
  <c r="A15" i="11"/>
  <c r="AD81" i="11"/>
  <c r="AH39" i="11"/>
  <c r="AH52" i="11"/>
  <c r="N81" i="11"/>
  <c r="X14" i="11"/>
  <c r="AO55" i="10"/>
  <c r="AN55" i="10"/>
  <c r="AJ55" i="10"/>
  <c r="AJ81" i="10" s="1"/>
  <c r="AI55" i="10"/>
  <c r="AH55" i="10" s="1"/>
  <c r="AM55" i="10"/>
  <c r="AL55" i="10"/>
  <c r="AK55" i="10"/>
  <c r="AM52" i="10"/>
  <c r="AL52" i="10"/>
  <c r="AL81" i="10" s="1"/>
  <c r="AK52" i="10"/>
  <c r="AK81" i="10" s="1"/>
  <c r="AO52" i="10"/>
  <c r="AO81" i="10" s="1"/>
  <c r="AJ52" i="10"/>
  <c r="AN52" i="10"/>
  <c r="AN81" i="10" s="1"/>
  <c r="AI52" i="10"/>
  <c r="AG81" i="10"/>
  <c r="Z83" i="10"/>
  <c r="AH71" i="10"/>
  <c r="AM81" i="10"/>
  <c r="X15" i="10"/>
  <c r="X81" i="10" s="1"/>
  <c r="Z84" i="10" s="1"/>
  <c r="A81" i="10"/>
  <c r="A82" i="10" s="1"/>
  <c r="X82" i="10" s="1"/>
  <c r="Z82" i="10" s="1"/>
  <c r="AF81" i="10"/>
  <c r="X81" i="11" l="1"/>
  <c r="Z84" i="11" s="1"/>
  <c r="A81" i="11"/>
  <c r="A82" i="11" s="1"/>
  <c r="X82" i="11" s="1"/>
  <c r="Z82" i="11" s="1"/>
  <c r="X15" i="11"/>
  <c r="AI71" i="11"/>
  <c r="AO71" i="11"/>
  <c r="AO81" i="11" s="1"/>
  <c r="AN71" i="11"/>
  <c r="AN81" i="11" s="1"/>
  <c r="AM71" i="11"/>
  <c r="AM81" i="11" s="1"/>
  <c r="AL71" i="11"/>
  <c r="AL81" i="11" s="1"/>
  <c r="AK71" i="11"/>
  <c r="AK81" i="11" s="1"/>
  <c r="AJ71" i="11"/>
  <c r="AJ81" i="11" s="1"/>
  <c r="AG81" i="11"/>
  <c r="AI81" i="10"/>
  <c r="AH52" i="10"/>
  <c r="AH81" i="10" s="1"/>
  <c r="AH71" i="11" l="1"/>
  <c r="AH81" i="11" s="1"/>
  <c r="AI81" i="11"/>
  <c r="S34" i="9" l="1"/>
  <c r="R34" i="9"/>
  <c r="Q34" i="9"/>
  <c r="P34" i="9"/>
  <c r="O34" i="9"/>
  <c r="N34" i="9"/>
  <c r="M34" i="9"/>
  <c r="L34" i="9"/>
  <c r="K34" i="9"/>
  <c r="AG31" i="9"/>
  <c r="AF31" i="9"/>
  <c r="AE31" i="9"/>
  <c r="AD31" i="9"/>
  <c r="AC31" i="9"/>
  <c r="AB31" i="9"/>
  <c r="AA31" i="9"/>
  <c r="S31" i="9"/>
  <c r="S32" i="9" s="1"/>
  <c r="R31" i="9"/>
  <c r="R32" i="9" s="1"/>
  <c r="P31" i="9"/>
  <c r="P32" i="9" s="1"/>
  <c r="N31" i="9"/>
  <c r="N32" i="9" s="1"/>
  <c r="M31" i="9"/>
  <c r="M32" i="9" s="1"/>
  <c r="L31" i="9"/>
  <c r="L32" i="9" s="1"/>
  <c r="K31" i="9"/>
  <c r="K32" i="9" s="1"/>
  <c r="T30" i="9"/>
  <c r="AI30" i="9" s="1"/>
  <c r="Z30" i="9" s="1"/>
  <c r="T29" i="9"/>
  <c r="C11" i="9" s="1"/>
  <c r="T28" i="9"/>
  <c r="C10" i="9" s="1"/>
  <c r="T27" i="9"/>
  <c r="AH27" i="9" s="1"/>
  <c r="D8" i="9"/>
  <c r="D7" i="9"/>
  <c r="T24" i="9"/>
  <c r="C6" i="9" s="1"/>
  <c r="T23" i="9"/>
  <c r="Q31" i="9"/>
  <c r="Q32" i="9" s="1"/>
  <c r="D12" i="9"/>
  <c r="D11" i="9"/>
  <c r="D10" i="9"/>
  <c r="D9" i="9"/>
  <c r="D6" i="9"/>
  <c r="D4" i="9"/>
  <c r="K31" i="7"/>
  <c r="L31" i="7"/>
  <c r="L32" i="7" s="1"/>
  <c r="M31" i="7"/>
  <c r="N31" i="7"/>
  <c r="O31" i="7"/>
  <c r="P31" i="7"/>
  <c r="P32" i="7" s="1"/>
  <c r="T31" i="7"/>
  <c r="S31" i="7"/>
  <c r="R31" i="7"/>
  <c r="Q31" i="7"/>
  <c r="Q32" i="7" s="1"/>
  <c r="T22" i="7"/>
  <c r="AI22" i="7" s="1"/>
  <c r="Z22" i="7" s="1"/>
  <c r="Q22" i="7"/>
  <c r="D4" i="7" s="1"/>
  <c r="D9" i="7"/>
  <c r="D10" i="7"/>
  <c r="D11" i="7"/>
  <c r="D12" i="7"/>
  <c r="T28" i="7"/>
  <c r="AI28" i="7" s="1"/>
  <c r="Z28" i="7" s="1"/>
  <c r="L34" i="7"/>
  <c r="M34" i="7"/>
  <c r="N34" i="7"/>
  <c r="O34" i="7"/>
  <c r="P34" i="7"/>
  <c r="Q34" i="7"/>
  <c r="R34" i="7"/>
  <c r="S34" i="7"/>
  <c r="K34" i="7"/>
  <c r="K32" i="7"/>
  <c r="M32" i="7"/>
  <c r="N32" i="7"/>
  <c r="R32" i="7"/>
  <c r="AA31" i="7"/>
  <c r="AB31" i="7"/>
  <c r="AC31" i="7"/>
  <c r="AD31" i="7"/>
  <c r="AE31" i="7"/>
  <c r="AF31" i="7"/>
  <c r="AG31" i="7"/>
  <c r="T30" i="7"/>
  <c r="AI30" i="7" s="1"/>
  <c r="Z30" i="7" s="1"/>
  <c r="T29" i="7"/>
  <c r="AI29" i="7" s="1"/>
  <c r="Z29" i="7" s="1"/>
  <c r="T27" i="7"/>
  <c r="AH27" i="7" s="1"/>
  <c r="Z27" i="7" s="1"/>
  <c r="S26" i="7"/>
  <c r="O26" i="7"/>
  <c r="D8" i="7" s="1"/>
  <c r="S25" i="7"/>
  <c r="O25" i="7"/>
  <c r="D7" i="7" s="1"/>
  <c r="S24" i="7"/>
  <c r="O24" i="7"/>
  <c r="T24" i="7" s="1"/>
  <c r="AI24" i="7" s="1"/>
  <c r="Z24" i="7" s="1"/>
  <c r="S23" i="7"/>
  <c r="O23" i="7"/>
  <c r="D5" i="7" s="1"/>
  <c r="C10" i="6"/>
  <c r="C9" i="6"/>
  <c r="C8" i="6"/>
  <c r="D22" i="6"/>
  <c r="E22" i="6"/>
  <c r="F22" i="6"/>
  <c r="C22" i="6"/>
  <c r="D21" i="6"/>
  <c r="E21" i="6"/>
  <c r="F21" i="6"/>
  <c r="C21" i="6"/>
  <c r="F20" i="6"/>
  <c r="F23" i="6" s="1"/>
  <c r="D20" i="6"/>
  <c r="E20" i="6"/>
  <c r="C20" i="6"/>
  <c r="D19" i="6"/>
  <c r="E19" i="6"/>
  <c r="F19" i="6"/>
  <c r="C19" i="6"/>
  <c r="F18" i="6"/>
  <c r="D18" i="6"/>
  <c r="E18" i="6"/>
  <c r="C18" i="6"/>
  <c r="D17" i="6"/>
  <c r="D23" i="6" s="1"/>
  <c r="E17" i="6"/>
  <c r="F17" i="6"/>
  <c r="C17" i="6"/>
  <c r="D16" i="6"/>
  <c r="E16" i="6"/>
  <c r="F16" i="6"/>
  <c r="C16" i="6"/>
  <c r="C7" i="6"/>
  <c r="C6" i="6"/>
  <c r="C5" i="6"/>
  <c r="C4" i="6"/>
  <c r="T66" i="6"/>
  <c r="T65" i="6"/>
  <c r="T64" i="6"/>
  <c r="T63" i="6"/>
  <c r="T62" i="6"/>
  <c r="T61" i="6"/>
  <c r="T60" i="6"/>
  <c r="T59" i="6"/>
  <c r="T58" i="6"/>
  <c r="T57" i="6"/>
  <c r="T56" i="6"/>
  <c r="T55" i="6"/>
  <c r="T54" i="6"/>
  <c r="T53" i="6"/>
  <c r="T52" i="6"/>
  <c r="T51" i="6"/>
  <c r="T50" i="6"/>
  <c r="T49" i="6"/>
  <c r="T48" i="6"/>
  <c r="T47" i="6"/>
  <c r="T46" i="6"/>
  <c r="T45" i="6"/>
  <c r="T44" i="6"/>
  <c r="T43" i="6"/>
  <c r="T42" i="6"/>
  <c r="T41" i="6"/>
  <c r="T40" i="6"/>
  <c r="T39" i="6"/>
  <c r="T38" i="6"/>
  <c r="T37" i="6"/>
  <c r="T36" i="6"/>
  <c r="S67" i="6"/>
  <c r="R67" i="6"/>
  <c r="N67" i="6"/>
  <c r="M67" i="6"/>
  <c r="L67" i="6"/>
  <c r="K67" i="6"/>
  <c r="J67" i="6"/>
  <c r="I67" i="6"/>
  <c r="H67" i="6"/>
  <c r="R65" i="6"/>
  <c r="Q65" i="6"/>
  <c r="R64" i="6"/>
  <c r="Q64" i="6"/>
  <c r="R63" i="6"/>
  <c r="Q63" i="6"/>
  <c r="P63" i="6"/>
  <c r="R62" i="6"/>
  <c r="R61" i="6"/>
  <c r="P55" i="6"/>
  <c r="P54" i="6"/>
  <c r="Q53" i="6"/>
  <c r="P53" i="6"/>
  <c r="P52" i="6"/>
  <c r="R51" i="6"/>
  <c r="Q51" i="6"/>
  <c r="Q67" i="6" s="1"/>
  <c r="P51" i="6"/>
  <c r="P50" i="6"/>
  <c r="P49" i="6"/>
  <c r="P67" i="6" s="1"/>
  <c r="P45" i="6"/>
  <c r="P40" i="6"/>
  <c r="E23" i="6"/>
  <c r="C23" i="6"/>
  <c r="C11" i="6"/>
  <c r="V83" i="5"/>
  <c r="V82" i="5"/>
  <c r="V81" i="5"/>
  <c r="V79" i="5"/>
  <c r="C39" i="5" s="1"/>
  <c r="V78" i="5"/>
  <c r="V77" i="5"/>
  <c r="C38" i="5" s="1"/>
  <c r="V76" i="5"/>
  <c r="V75" i="5"/>
  <c r="V74" i="5"/>
  <c r="V73" i="5"/>
  <c r="V72" i="5"/>
  <c r="U72" i="5" s="1"/>
  <c r="V71" i="5"/>
  <c r="V69" i="5"/>
  <c r="V61" i="5"/>
  <c r="D34" i="5"/>
  <c r="D32" i="5"/>
  <c r="D31" i="5"/>
  <c r="C34" i="5"/>
  <c r="C32" i="5"/>
  <c r="C33" i="5"/>
  <c r="C31" i="5"/>
  <c r="C30" i="5"/>
  <c r="E25" i="5"/>
  <c r="F25" i="5"/>
  <c r="D25" i="5"/>
  <c r="F24" i="5"/>
  <c r="E24" i="5"/>
  <c r="D24" i="5"/>
  <c r="C24" i="5"/>
  <c r="C17" i="5"/>
  <c r="C18" i="5"/>
  <c r="C19" i="5"/>
  <c r="C16" i="5"/>
  <c r="C12" i="5"/>
  <c r="C11" i="5"/>
  <c r="C10" i="5"/>
  <c r="C9" i="5"/>
  <c r="C8" i="5"/>
  <c r="C7" i="5"/>
  <c r="C6" i="5"/>
  <c r="C5" i="5"/>
  <c r="T84" i="5"/>
  <c r="S79" i="5"/>
  <c r="R79" i="5"/>
  <c r="S78" i="5"/>
  <c r="R78" i="5"/>
  <c r="R77" i="5"/>
  <c r="U77" i="5" s="1"/>
  <c r="S76" i="5"/>
  <c r="R76" i="5"/>
  <c r="R75" i="5"/>
  <c r="R74" i="5"/>
  <c r="R73" i="5"/>
  <c r="Q73" i="5"/>
  <c r="Q84" i="5" s="1"/>
  <c r="S72" i="5"/>
  <c r="R72" i="5"/>
  <c r="Q72" i="5"/>
  <c r="S71" i="5"/>
  <c r="S70" i="5"/>
  <c r="S84" i="5" s="1"/>
  <c r="S69" i="5"/>
  <c r="V68" i="5"/>
  <c r="V67" i="5"/>
  <c r="U67" i="5"/>
  <c r="V64" i="5"/>
  <c r="U64" i="5"/>
  <c r="V63" i="5"/>
  <c r="U63" i="5" s="1"/>
  <c r="V62" i="5"/>
  <c r="U62" i="5"/>
  <c r="V57" i="5"/>
  <c r="V56" i="5"/>
  <c r="U56" i="5"/>
  <c r="V55" i="5"/>
  <c r="U55" i="5" s="1"/>
  <c r="V54" i="5"/>
  <c r="U54" i="5"/>
  <c r="AH109" i="4"/>
  <c r="C62" i="4" s="1"/>
  <c r="AH108" i="4"/>
  <c r="C61" i="4" s="1"/>
  <c r="AH107" i="4"/>
  <c r="C60" i="4" s="1"/>
  <c r="AH106" i="4"/>
  <c r="C59" i="4" s="1"/>
  <c r="AH105" i="4"/>
  <c r="C58" i="4" s="1"/>
  <c r="AH104" i="4"/>
  <c r="C57" i="4" s="1"/>
  <c r="AH103" i="4"/>
  <c r="AH102" i="4"/>
  <c r="C55" i="4" s="1"/>
  <c r="AH99" i="4"/>
  <c r="C10" i="4" s="1"/>
  <c r="AH86" i="4"/>
  <c r="D29" i="4" s="1"/>
  <c r="AH84" i="4"/>
  <c r="D27" i="4" s="1"/>
  <c r="AH83" i="4"/>
  <c r="D26" i="4" s="1"/>
  <c r="AH82" i="4"/>
  <c r="AH81" i="4"/>
  <c r="D24" i="4" s="1"/>
  <c r="AH80" i="4"/>
  <c r="AH79" i="4"/>
  <c r="AH78" i="4"/>
  <c r="AH77" i="4"/>
  <c r="AH76" i="4"/>
  <c r="AH75" i="4"/>
  <c r="AH74" i="4"/>
  <c r="D25" i="4"/>
  <c r="AH73" i="4"/>
  <c r="C21" i="4" s="1"/>
  <c r="C65" i="4"/>
  <c r="C64" i="4"/>
  <c r="C63" i="4"/>
  <c r="D56" i="4"/>
  <c r="D54" i="4"/>
  <c r="C53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D28" i="4"/>
  <c r="C23" i="4"/>
  <c r="C22" i="4"/>
  <c r="C14" i="4"/>
  <c r="C12" i="4"/>
  <c r="C11" i="4"/>
  <c r="AE113" i="4"/>
  <c r="AD113" i="4"/>
  <c r="AH112" i="4"/>
  <c r="AD112" i="4"/>
  <c r="AD111" i="4"/>
  <c r="AH111" i="4" s="1"/>
  <c r="AD110" i="4"/>
  <c r="AH110" i="4" s="1"/>
  <c r="S109" i="4"/>
  <c r="AF109" i="4" s="1"/>
  <c r="S108" i="4"/>
  <c r="AF108" i="4" s="1"/>
  <c r="C7" i="4" s="1"/>
  <c r="S107" i="4"/>
  <c r="AF107" i="4" s="1"/>
  <c r="AF106" i="4"/>
  <c r="AA106" i="4"/>
  <c r="AF105" i="4"/>
  <c r="AA105" i="4"/>
  <c r="AA104" i="4"/>
  <c r="AF104" i="4" s="1"/>
  <c r="C9" i="4" s="1"/>
  <c r="Z103" i="4"/>
  <c r="AF103" i="4" s="1"/>
  <c r="AA102" i="4"/>
  <c r="AF102" i="4" s="1"/>
  <c r="C6" i="4" s="1"/>
  <c r="AG100" i="4"/>
  <c r="AG113" i="4" s="1"/>
  <c r="AF99" i="4"/>
  <c r="AI29" i="9" l="1"/>
  <c r="Z29" i="9" s="1"/>
  <c r="C12" i="9"/>
  <c r="Z27" i="9"/>
  <c r="AH31" i="9"/>
  <c r="AI23" i="9"/>
  <c r="C5" i="9"/>
  <c r="T32" i="9"/>
  <c r="C15" i="9" s="1"/>
  <c r="C9" i="9"/>
  <c r="AI24" i="9"/>
  <c r="Z24" i="9" s="1"/>
  <c r="T26" i="9"/>
  <c r="AI28" i="9"/>
  <c r="Z28" i="9" s="1"/>
  <c r="D5" i="9"/>
  <c r="D13" i="9" s="1"/>
  <c r="O31" i="9"/>
  <c r="O32" i="9" s="1"/>
  <c r="T22" i="9"/>
  <c r="T25" i="9"/>
  <c r="C4" i="7"/>
  <c r="C11" i="7"/>
  <c r="C10" i="7"/>
  <c r="C9" i="7"/>
  <c r="C6" i="7"/>
  <c r="D6" i="7"/>
  <c r="D13" i="7" s="1"/>
  <c r="C12" i="7"/>
  <c r="AH31" i="7"/>
  <c r="O32" i="7"/>
  <c r="S32" i="7"/>
  <c r="T32" i="7" s="1"/>
  <c r="C15" i="7" s="1"/>
  <c r="T23" i="7"/>
  <c r="C5" i="7" s="1"/>
  <c r="T25" i="7"/>
  <c r="T26" i="7"/>
  <c r="T67" i="6"/>
  <c r="C25" i="5"/>
  <c r="U73" i="5"/>
  <c r="V84" i="5"/>
  <c r="V70" i="5"/>
  <c r="R84" i="5"/>
  <c r="C8" i="4"/>
  <c r="C13" i="4"/>
  <c r="AF113" i="4"/>
  <c r="AH100" i="4"/>
  <c r="AH113" i="4" s="1"/>
  <c r="AI26" i="9" l="1"/>
  <c r="Z26" i="9" s="1"/>
  <c r="C8" i="9"/>
  <c r="AI22" i="9"/>
  <c r="Z22" i="9" s="1"/>
  <c r="C4" i="9"/>
  <c r="T31" i="9"/>
  <c r="Z23" i="9"/>
  <c r="AI25" i="9"/>
  <c r="Z25" i="9" s="1"/>
  <c r="C7" i="9"/>
  <c r="C13" i="9" s="1"/>
  <c r="AI25" i="7"/>
  <c r="Z25" i="7" s="1"/>
  <c r="C7" i="7"/>
  <c r="AI26" i="7"/>
  <c r="Z26" i="7" s="1"/>
  <c r="C8" i="7"/>
  <c r="AI23" i="7"/>
  <c r="Z31" i="9" l="1"/>
  <c r="AI31" i="9"/>
  <c r="C13" i="7"/>
  <c r="Z23" i="7"/>
  <c r="Z31" i="7" s="1"/>
  <c r="AI31" i="7"/>
  <c r="E30" i="5" l="1"/>
  <c r="E32" i="5"/>
  <c r="E34" i="5"/>
  <c r="E33" i="5"/>
  <c r="E31" i="5"/>
  <c r="C8" i="3"/>
  <c r="AF87" i="4"/>
  <c r="AE87" i="4"/>
  <c r="AD87" i="4"/>
  <c r="AH85" i="4"/>
  <c r="AG80" i="4"/>
  <c r="AG79" i="4"/>
  <c r="AG78" i="4"/>
  <c r="AG77" i="4"/>
  <c r="AG76" i="4"/>
  <c r="AG75" i="4"/>
  <c r="AG74" i="4"/>
  <c r="C4" i="4"/>
  <c r="AA87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O36" i="3"/>
  <c r="O35" i="3"/>
  <c r="O32" i="3"/>
  <c r="O33" i="3"/>
  <c r="O31" i="3"/>
  <c r="O24" i="3"/>
  <c r="O25" i="3"/>
  <c r="O26" i="3"/>
  <c r="O27" i="3"/>
  <c r="O28" i="3"/>
  <c r="O29" i="3"/>
  <c r="O23" i="3"/>
  <c r="D7" i="3"/>
  <c r="E6" i="3"/>
  <c r="E7" i="3"/>
  <c r="E8" i="3"/>
  <c r="D9" i="3"/>
  <c r="E9" i="3"/>
  <c r="D10" i="3"/>
  <c r="E10" i="3"/>
  <c r="C7" i="3"/>
  <c r="C10" i="3"/>
  <c r="C9" i="3"/>
  <c r="J37" i="3"/>
  <c r="I37" i="3"/>
  <c r="H37" i="3"/>
  <c r="G37" i="3"/>
  <c r="F37" i="3"/>
  <c r="N29" i="3"/>
  <c r="E5" i="3" s="1"/>
  <c r="E11" i="3" s="1"/>
  <c r="M29" i="3"/>
  <c r="L29" i="3"/>
  <c r="C6" i="3" s="1"/>
  <c r="N28" i="3"/>
  <c r="M28" i="3"/>
  <c r="L28" i="3"/>
  <c r="C5" i="3" s="1"/>
  <c r="F7" i="3"/>
  <c r="M24" i="3"/>
  <c r="M23" i="3"/>
  <c r="C5" i="4" l="1"/>
  <c r="C15" i="4" s="1"/>
  <c r="AH87" i="4"/>
  <c r="AG73" i="4"/>
  <c r="F10" i="3"/>
  <c r="F9" i="3"/>
  <c r="F8" i="3"/>
  <c r="D5" i="3"/>
  <c r="D11" i="3" s="1"/>
  <c r="L37" i="3"/>
  <c r="D6" i="3"/>
  <c r="D8" i="3"/>
  <c r="N37" i="3"/>
  <c r="M37" i="3"/>
  <c r="O37" i="3" l="1"/>
  <c r="F6" i="3"/>
  <c r="F5" i="3"/>
  <c r="F11" i="3" s="1"/>
  <c r="C11" i="3" l="1"/>
  <c r="N16" i="2"/>
  <c r="S10" i="2" s="1"/>
  <c r="M16" i="2"/>
  <c r="O16" i="2" s="1"/>
  <c r="O15" i="2"/>
  <c r="O14" i="2"/>
  <c r="O13" i="2"/>
  <c r="O12" i="2"/>
  <c r="O11" i="2"/>
  <c r="O10" i="2"/>
  <c r="O9" i="2"/>
  <c r="T5" i="2"/>
  <c r="T6" i="2" s="1"/>
  <c r="R10" i="2" l="1"/>
  <c r="T1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Forfatter</author>
  </authors>
  <commentList>
    <comment ref="Z61" authorId="0" shapeId="0" xr:uid="{88C12D19-D00F-4E13-B8A9-809B4EEFBFBA}">
      <text>
        <r>
          <rPr>
            <b/>
            <sz val="9"/>
            <color indexed="81"/>
            <rFont val="Tahoma"/>
            <family val="2"/>
          </rPr>
          <t>Elkedel på Studstrupværket og industriel overskudsvarme er indregnet i virkningsgraden.</t>
        </r>
      </text>
    </comment>
    <comment ref="AB61" authorId="0" shapeId="0" xr:uid="{AEC6E6CD-AF45-4075-8FEF-69D31FED78D7}">
      <text>
        <r>
          <rPr>
            <b/>
            <sz val="9"/>
            <color indexed="81"/>
            <rFont val="Tahoma"/>
            <family val="2"/>
          </rPr>
          <t>Elkedel på Studstrupværket og industriel overskudsvarme er indregnet i virkningsgraden.</t>
        </r>
      </text>
    </comment>
  </commentList>
</comments>
</file>

<file path=xl/sharedStrings.xml><?xml version="1.0" encoding="utf-8"?>
<sst xmlns="http://schemas.openxmlformats.org/spreadsheetml/2006/main" count="883" uniqueCount="501">
  <si>
    <t>Landstal for 1990 og 2018</t>
  </si>
  <si>
    <t>Indbyggertal i kommune/region:</t>
  </si>
  <si>
    <t>BNP kommune/Region:</t>
  </si>
  <si>
    <t>kr.</t>
  </si>
  <si>
    <t xml:space="preserve">Indbyggere DK: </t>
  </si>
  <si>
    <r>
      <t>Km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i DK</t>
    </r>
  </si>
  <si>
    <t>BNP (mio. kr.) i DK:</t>
  </si>
  <si>
    <t>BNP pr. indbygger:</t>
  </si>
  <si>
    <t>Total udledning i kommune/region (ton CO2-e)</t>
  </si>
  <si>
    <t>Forskel i %</t>
  </si>
  <si>
    <t>Planteavl</t>
  </si>
  <si>
    <r>
      <t>Ton 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-e pr. indbygger</t>
    </r>
  </si>
  <si>
    <r>
      <t>Ton 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-e pr. km</t>
    </r>
    <r>
      <rPr>
        <vertAlign val="superscript"/>
        <sz val="11"/>
        <color theme="1"/>
        <rFont val="Arial"/>
        <family val="2"/>
      </rPr>
      <t>2</t>
    </r>
  </si>
  <si>
    <r>
      <t>Kg 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-e ift.  BNP (1.000 kr.) pr. indbygger</t>
    </r>
  </si>
  <si>
    <t xml:space="preserve">Planteavl </t>
  </si>
  <si>
    <t>Dyrehold</t>
  </si>
  <si>
    <t>Industrielle processer</t>
  </si>
  <si>
    <t>Transport</t>
  </si>
  <si>
    <t>Øvrig energisektor</t>
  </si>
  <si>
    <t>Arealanvendelse</t>
  </si>
  <si>
    <t xml:space="preserve">Reduktionsbehov i 2030 for at opnå 70 % reduktion af emissioner </t>
  </si>
  <si>
    <t>Affald, spildevand og tilfældige brande</t>
  </si>
  <si>
    <t>Affald og spildevand</t>
  </si>
  <si>
    <t>Total</t>
  </si>
  <si>
    <t>2030 reduktionsmål</t>
  </si>
  <si>
    <t>ton</t>
  </si>
  <si>
    <t>Manglende reduktion 2018</t>
  </si>
  <si>
    <t>Reduktion pr. indbygger for nå 70 %</t>
  </si>
  <si>
    <t>Indtastes  jf. tilbageskrivning 1990 regnskaber</t>
  </si>
  <si>
    <t>Antal km2:</t>
  </si>
  <si>
    <t>Ton CO2-e pr. indbygger</t>
  </si>
  <si>
    <t>Ton CO2-e pr. km2</t>
  </si>
  <si>
    <t>Kg CO2-e ift.  BNP (1.000 kr.) pr. indbygger</t>
  </si>
  <si>
    <t>personer</t>
  </si>
  <si>
    <t>km2</t>
  </si>
  <si>
    <t>mio. kr.</t>
  </si>
  <si>
    <t>kr</t>
  </si>
  <si>
    <t>Viborg Kommunes nøgletal 1990 og 2018</t>
  </si>
  <si>
    <r>
      <t>Total CO</t>
    </r>
    <r>
      <rPr>
        <b/>
        <vertAlign val="subscript"/>
        <sz val="11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>-e i DK</t>
    </r>
  </si>
  <si>
    <t>Affald</t>
  </si>
  <si>
    <t>Forbrænding af affald</t>
  </si>
  <si>
    <t>Biologisk behandling af fast affald</t>
  </si>
  <si>
    <t>Bortskaffelse af fast affald</t>
  </si>
  <si>
    <t>Spildevand</t>
  </si>
  <si>
    <t>Tilfældige brande</t>
  </si>
  <si>
    <t>Affald, spildevand &amp; tilfældige brande (ton &amp; antal)</t>
  </si>
  <si>
    <t>Affald:</t>
  </si>
  <si>
    <t>Spildevand:</t>
  </si>
  <si>
    <t>Tilfældige brande:</t>
  </si>
  <si>
    <t>1) Mængder er ikke tilgængelige</t>
  </si>
  <si>
    <t>Spildevnad</t>
  </si>
  <si>
    <r>
      <t>NO</t>
    </r>
    <r>
      <rPr>
        <vertAlign val="superscript"/>
        <sz val="11"/>
        <color theme="1"/>
        <rFont val="Arial"/>
        <family val="2"/>
      </rPr>
      <t>1)</t>
    </r>
  </si>
  <si>
    <r>
      <t>NO</t>
    </r>
    <r>
      <rPr>
        <vertAlign val="superscript"/>
        <sz val="11"/>
        <rFont val="Arial"/>
        <family val="2"/>
      </rPr>
      <t>1)</t>
    </r>
  </si>
  <si>
    <t>NO</t>
  </si>
  <si>
    <t>Regnskab for affald, spildevand og tilfældige brande</t>
  </si>
  <si>
    <t>Geografisk klimaregnskab for affald &amp; spildevand</t>
  </si>
  <si>
    <t>Viborg Kommune</t>
  </si>
  <si>
    <t>aktivitet</t>
  </si>
  <si>
    <t>Håndterede bortskaffelsessteder</t>
  </si>
  <si>
    <t>Uhåndterede bortskaffelsessteder</t>
  </si>
  <si>
    <t>Ukategoriserede bortskaffelsessteder</t>
  </si>
  <si>
    <t>Kompostering</t>
  </si>
  <si>
    <t xml:space="preserve">Anaerob omsætning på biogasanlæg </t>
  </si>
  <si>
    <t>Affaldsforbrænding</t>
  </si>
  <si>
    <t>Åben forbrænding af affald</t>
  </si>
  <si>
    <t>Husholdningsspildevand</t>
  </si>
  <si>
    <t>Industrielt spildevand</t>
  </si>
  <si>
    <t xml:space="preserve">Andet </t>
  </si>
  <si>
    <t xml:space="preserve"> Utilsigtede bygningsbrande</t>
  </si>
  <si>
    <t xml:space="preserve"> Utilsigtede bilbrande</t>
  </si>
  <si>
    <r>
      <t>CO</t>
    </r>
    <r>
      <rPr>
        <vertAlign val="subscript"/>
        <sz val="10"/>
        <rFont val="Arial"/>
        <family val="2"/>
      </rPr>
      <t>2</t>
    </r>
  </si>
  <si>
    <r>
      <t>CH</t>
    </r>
    <r>
      <rPr>
        <vertAlign val="subscript"/>
        <sz val="10"/>
        <rFont val="Arial"/>
        <family val="2"/>
      </rPr>
      <t>4</t>
    </r>
    <r>
      <rPr>
        <sz val="10"/>
        <rFont val="Arial"/>
        <family val="2"/>
      </rPr>
      <t xml:space="preserve"> </t>
    </r>
  </si>
  <si>
    <r>
      <t>N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O </t>
    </r>
  </si>
  <si>
    <t xml:space="preserve">CO2- e total </t>
  </si>
  <si>
    <t>CO2</t>
  </si>
  <si>
    <t xml:space="preserve">CH4 </t>
  </si>
  <si>
    <t>Udledning fra affald og spildevand ()</t>
  </si>
  <si>
    <t>N2O</t>
  </si>
  <si>
    <t>År 2018</t>
  </si>
  <si>
    <t>Drivhusgas</t>
  </si>
  <si>
    <t>Kuldioxid (CO2)</t>
  </si>
  <si>
    <t>Metan (CH4)</t>
  </si>
  <si>
    <t>Lattergas (N2O)</t>
  </si>
  <si>
    <t>Drivhuspotientialet: Omregningsfaktor til CO2-e</t>
  </si>
  <si>
    <t>Omregning af drivhusgas til drivhuspotientiale:</t>
  </si>
  <si>
    <t>Tilfældige brande (antal)</t>
  </si>
  <si>
    <t>Forbrænding af affald (ton)</t>
  </si>
  <si>
    <t>Biologisk behandling af fast affald (ton)</t>
  </si>
  <si>
    <t>Bortskaffelse af fast affald (ton)</t>
  </si>
  <si>
    <t>Aktivitet</t>
  </si>
  <si>
    <t>Vomgasser</t>
  </si>
  <si>
    <t>Bindestald</t>
  </si>
  <si>
    <t>Dybstrøelse</t>
  </si>
  <si>
    <t>Friland</t>
  </si>
  <si>
    <t>Løsdrift / boks</t>
  </si>
  <si>
    <t>Løsdrift / boks/ Bur</t>
  </si>
  <si>
    <t>Løsdrift / spalter</t>
  </si>
  <si>
    <t>Sengestald</t>
  </si>
  <si>
    <t>Kvæggylle til biogas (reduktion)</t>
  </si>
  <si>
    <t xml:space="preserve">Svinegylle til biogas (reduktion) </t>
  </si>
  <si>
    <r>
      <t>Forsuring - reduktion i N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</si>
  <si>
    <r>
      <t>Køling - reduktion i N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</si>
  <si>
    <r>
      <t>Hurtig udslusning - reduktion i N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</si>
  <si>
    <r>
      <t>Varmeveksler - reduktion i N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</si>
  <si>
    <r>
      <t>NH</t>
    </r>
    <r>
      <rPr>
        <i/>
        <vertAlign val="subscript"/>
        <sz val="11"/>
        <color theme="1"/>
        <rFont val="Arial"/>
        <family val="2"/>
      </rPr>
      <t>3</t>
    </r>
    <r>
      <rPr>
        <i/>
        <sz val="11"/>
        <color theme="1"/>
        <rFont val="Arial"/>
        <family val="2"/>
      </rPr>
      <t>-N (ton)</t>
    </r>
  </si>
  <si>
    <t>Lattergas-reducerende teknologi</t>
  </si>
  <si>
    <t xml:space="preserve">Årsdyr (Antal) </t>
  </si>
  <si>
    <t>Gylle (ton)</t>
  </si>
  <si>
    <t>Ammekøer</t>
  </si>
  <si>
    <t>Avlstyr</t>
  </si>
  <si>
    <t>Fjerkræ</t>
  </si>
  <si>
    <t>FRATS-Svin</t>
  </si>
  <si>
    <t>Geder / får</t>
  </si>
  <si>
    <t>Heste</t>
  </si>
  <si>
    <t>Hjortdyr</t>
  </si>
  <si>
    <t>Kvier</t>
  </si>
  <si>
    <t>Pelsdyr</t>
  </si>
  <si>
    <t>Sl. Svin</t>
  </si>
  <si>
    <t xml:space="preserve">Slagterkalve 0-6 mdr. </t>
  </si>
  <si>
    <t xml:space="preserve">Slagterkalve 6 mdr. </t>
  </si>
  <si>
    <t>Smågrise</t>
  </si>
  <si>
    <t>Småkalve</t>
  </si>
  <si>
    <t>Årsko, Malkekvæg</t>
  </si>
  <si>
    <t>Årsso</t>
  </si>
  <si>
    <t>Mængde til biogas</t>
  </si>
  <si>
    <t>Emission (ton)</t>
  </si>
  <si>
    <r>
      <t>CH</t>
    </r>
    <r>
      <rPr>
        <vertAlign val="subscript"/>
        <sz val="10"/>
        <rFont val="Arial"/>
        <family val="2"/>
      </rPr>
      <t>4</t>
    </r>
    <r>
      <rPr>
        <sz val="10"/>
        <rFont val="Arial"/>
        <family val="2"/>
      </rPr>
      <t xml:space="preserve"> (emission)</t>
    </r>
  </si>
  <si>
    <r>
      <t>N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 (emission)</t>
    </r>
  </si>
  <si>
    <r>
      <t>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-e pr dyr </t>
    </r>
  </si>
  <si>
    <r>
      <t>Fordeling af udledning fra landbrug (Ton CO</t>
    </r>
    <r>
      <rPr>
        <b/>
        <vertAlign val="subscript"/>
        <sz val="11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>-e)</t>
    </r>
  </si>
  <si>
    <t>Vomgasser fra dyr</t>
  </si>
  <si>
    <t>Husdyrgødning i stald**</t>
  </si>
  <si>
    <t xml:space="preserve">Organiske jorde (humus jord) </t>
  </si>
  <si>
    <t>Fordampning</t>
  </si>
  <si>
    <t>Nitrogen udvaskning</t>
  </si>
  <si>
    <t>Mineralisering</t>
  </si>
  <si>
    <t>Afgrøderester*</t>
  </si>
  <si>
    <t>Handelsgødning</t>
  </si>
  <si>
    <t>Gødning fra græssende dyr</t>
  </si>
  <si>
    <t>Kalk forbrug (inkl. Urea og Calcium)</t>
  </si>
  <si>
    <t>* Inklusiv fjernet halm</t>
  </si>
  <si>
    <t xml:space="preserve">** Reduceret med gylle til biogas og ammoniakreducerende staldteknologi </t>
  </si>
  <si>
    <t>Fordeling af udledning fra arealanvendelse</t>
  </si>
  <si>
    <t>Areal anvendelse i kommune/region (Ha)</t>
  </si>
  <si>
    <t>Skov</t>
  </si>
  <si>
    <t>Landbrugsjord</t>
  </si>
  <si>
    <t>Permanentgræs</t>
  </si>
  <si>
    <t xml:space="preserve">Vådområde (periodisk oversvømmet) </t>
  </si>
  <si>
    <t xml:space="preserve">Vådområde  (sø, å, mv.) </t>
  </si>
  <si>
    <t xml:space="preserve">Bebyggelse </t>
  </si>
  <si>
    <t>Øvrigt areal</t>
  </si>
  <si>
    <r>
      <t>Kulstofemission og lager fra blivende arealanvendelse (Ton CO</t>
    </r>
    <r>
      <rPr>
        <b/>
        <vertAlign val="sub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>-e)</t>
    </r>
  </si>
  <si>
    <t>Permanent græs</t>
  </si>
  <si>
    <t>Periodisk oversvømmet vådområder</t>
  </si>
  <si>
    <r>
      <t>Emission fra dræning og genoversvømmelse (Ton CO</t>
    </r>
    <r>
      <rPr>
        <b/>
        <vertAlign val="sub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>-e)</t>
    </r>
  </si>
  <si>
    <r>
      <t>CO</t>
    </r>
    <r>
      <rPr>
        <b/>
        <vertAlign val="subscript"/>
        <sz val="11"/>
        <color theme="1"/>
        <rFont val="Arial"/>
        <family val="2"/>
      </rPr>
      <t>2</t>
    </r>
  </si>
  <si>
    <r>
      <t>CH</t>
    </r>
    <r>
      <rPr>
        <b/>
        <vertAlign val="subscript"/>
        <sz val="11"/>
        <color theme="1"/>
        <rFont val="Arial"/>
        <family val="2"/>
      </rPr>
      <t>4</t>
    </r>
  </si>
  <si>
    <r>
      <t>N</t>
    </r>
    <r>
      <rPr>
        <b/>
        <vertAlign val="subscript"/>
        <sz val="11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>O</t>
    </r>
  </si>
  <si>
    <t xml:space="preserve">Drænet organisk jord (skov, landbrug, vedvarende græs) </t>
  </si>
  <si>
    <t xml:space="preserve">Genoversvømmet areal (landbrug, vedvarende græs) </t>
  </si>
  <si>
    <r>
      <t>Total (CO</t>
    </r>
    <r>
      <rPr>
        <b/>
        <vertAlign val="subscript"/>
        <sz val="9"/>
        <color theme="1"/>
        <rFont val="Arial"/>
        <family val="2"/>
      </rPr>
      <t>2</t>
    </r>
    <r>
      <rPr>
        <b/>
        <sz val="9"/>
        <color theme="1"/>
        <rFont val="Arial"/>
        <family val="2"/>
      </rPr>
      <t>-e)</t>
    </r>
  </si>
  <si>
    <r>
      <t>Emission og lager fra ændret arealanvendelse (Ton CO</t>
    </r>
    <r>
      <rPr>
        <b/>
        <vertAlign val="subscript"/>
        <sz val="11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>-e)</t>
    </r>
  </si>
  <si>
    <t>Omlægning til Skov (Skovrejsning)</t>
  </si>
  <si>
    <t xml:space="preserve">Omlægning til landbrugsjord </t>
  </si>
  <si>
    <t>Omlægning til permanent græs</t>
  </si>
  <si>
    <t>Omlægning til periodisk oversvømmet områder</t>
  </si>
  <si>
    <t>Omlægning til bebyggelse</t>
  </si>
  <si>
    <r>
      <t>Emission fra vådområde (periodisk oversvømmet) og naturpleje (Ton CO</t>
    </r>
    <r>
      <rPr>
        <b/>
        <vertAlign val="subscript"/>
        <sz val="11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>-e)</t>
    </r>
  </si>
  <si>
    <t>Delvisoversvømmet areal</t>
  </si>
  <si>
    <t>Afbrænding af hedeareal</t>
  </si>
  <si>
    <r>
      <t>Udledning fra husdyrhold (Ton CO</t>
    </r>
    <r>
      <rPr>
        <b/>
        <vertAlign val="subscript"/>
        <sz val="11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>-e)</t>
    </r>
  </si>
  <si>
    <t>Emission reducerende teknologi</t>
  </si>
  <si>
    <t xml:space="preserve">Lattergas fra staldsystemer </t>
  </si>
  <si>
    <t>Metan fra staldsystemer</t>
  </si>
  <si>
    <t>Forsuring - reduktion i N2O</t>
  </si>
  <si>
    <t>Køling - reduktion i N2O</t>
  </si>
  <si>
    <t>Hurtig udslusning - reduktion i N2O</t>
  </si>
  <si>
    <t>Varmeveksler - reduktion i N2O</t>
  </si>
  <si>
    <t xml:space="preserve">Afgrødefordeling i ha </t>
  </si>
  <si>
    <t>Vinterhvede</t>
  </si>
  <si>
    <t>Vårevede</t>
  </si>
  <si>
    <t>Rug</t>
  </si>
  <si>
    <t>Vinterbyg</t>
  </si>
  <si>
    <t>Vårbyg</t>
  </si>
  <si>
    <t>Havre</t>
  </si>
  <si>
    <t>Triticale oa korn til modenhed</t>
  </si>
  <si>
    <t>Majs til opfodring</t>
  </si>
  <si>
    <t>Kartofler</t>
  </si>
  <si>
    <t>Lucerne</t>
  </si>
  <si>
    <t>Bælgsæd til modenhed</t>
  </si>
  <si>
    <t>Sukkerroer, foderroer oa rodfrugt</t>
  </si>
  <si>
    <t>Korn og bælgsæd til ensilering (helsæd)</t>
  </si>
  <si>
    <t>Græs- og kløvermark i omdriften + Frø til udsæd</t>
  </si>
  <si>
    <t>Græs uden for omdrift</t>
  </si>
  <si>
    <t>Raps, hør, hamp oa industrifrø</t>
  </si>
  <si>
    <t>Total uden græs</t>
  </si>
  <si>
    <r>
      <t>Udledning fra planteavl (Ton CO</t>
    </r>
    <r>
      <rPr>
        <b/>
        <vertAlign val="subscript"/>
        <sz val="11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>-e)</t>
    </r>
  </si>
  <si>
    <t xml:space="preserve">Planteavl emission </t>
  </si>
  <si>
    <t>Emissionsreducerende tiltag</t>
  </si>
  <si>
    <t>Afgrøderester</t>
  </si>
  <si>
    <t>Efter- og mellemafgrøder</t>
  </si>
  <si>
    <t>Organisk jorde (humus, jord)</t>
  </si>
  <si>
    <t xml:space="preserve">Halm fjernet fra mark </t>
  </si>
  <si>
    <t>Jord, Mineralisering</t>
  </si>
  <si>
    <t>Gødningstildeling, handelsgødning</t>
  </si>
  <si>
    <t>Gødningstildeling, organsik gødning</t>
  </si>
  <si>
    <t>Gødningstildeling, dyr på græs</t>
  </si>
  <si>
    <t>Udvaskning</t>
  </si>
  <si>
    <t>Kalkning  (CaCO3)</t>
  </si>
  <si>
    <t xml:space="preserve">Urea (CH₄N₂O) </t>
  </si>
  <si>
    <r>
      <t>Calcium ammonium nitrat Ca(NO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)2 </t>
    </r>
  </si>
  <si>
    <t xml:space="preserve">Geografisk klimaregnskab for landbrug og anden arealanvendelse </t>
  </si>
  <si>
    <t xml:space="preserve">Viborg kommune </t>
  </si>
  <si>
    <r>
      <t>Dyrkning af jord (Ha, N</t>
    </r>
    <r>
      <rPr>
        <i/>
        <vertAlign val="subscript"/>
        <sz val="11"/>
        <color theme="1"/>
        <rFont val="Arial"/>
        <family val="2"/>
      </rPr>
      <t>2</t>
    </r>
    <r>
      <rPr>
        <i/>
        <sz val="11"/>
        <color theme="1"/>
        <rFont val="Arial"/>
        <family val="2"/>
      </rPr>
      <t>O-N &amp; C(ton))</t>
    </r>
  </si>
  <si>
    <t xml:space="preserve">Trækulturer  </t>
  </si>
  <si>
    <t xml:space="preserve">Energiskov (inkluderes i skovdefinition undtagen energipil) </t>
  </si>
  <si>
    <t xml:space="preserve">Vådområder inkl. Minivådområder </t>
  </si>
  <si>
    <t>Frugt og bær,grøntsager friland</t>
  </si>
  <si>
    <t>Øvrige</t>
  </si>
  <si>
    <t>Bjerget halm</t>
  </si>
  <si>
    <t>Total mængde N gødning</t>
  </si>
  <si>
    <t>Total mængde kulstofholdig gødning</t>
  </si>
  <si>
    <r>
      <t>CO</t>
    </r>
    <r>
      <rPr>
        <vertAlign val="subscript"/>
        <sz val="10"/>
        <rFont val="Arial"/>
        <family val="2"/>
      </rPr>
      <t xml:space="preserve">2 </t>
    </r>
    <r>
      <rPr>
        <sz val="10"/>
        <rFont val="Arial"/>
        <family val="2"/>
      </rPr>
      <t>(emission)</t>
    </r>
  </si>
  <si>
    <r>
      <t>CH</t>
    </r>
    <r>
      <rPr>
        <vertAlign val="sub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 xml:space="preserve"> (emission)</t>
    </r>
  </si>
  <si>
    <t>C (lager)</t>
  </si>
  <si>
    <t xml:space="preserve">CO2e total </t>
  </si>
  <si>
    <t xml:space="preserve">Planteavl, Ha </t>
  </si>
  <si>
    <r>
      <t xml:space="preserve">Efter- og mellemafgrøder </t>
    </r>
    <r>
      <rPr>
        <vertAlign val="superscript"/>
        <sz val="10"/>
        <rFont val="Arial"/>
        <family val="2"/>
      </rPr>
      <t>2</t>
    </r>
  </si>
  <si>
    <r>
      <t>Planteavl -   N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O-N &amp; C(ton)</t>
    </r>
  </si>
  <si>
    <t xml:space="preserve">Organisk jorde (humus, jord) (N) </t>
  </si>
  <si>
    <t>Halm fjernet fra mark (ton)</t>
  </si>
  <si>
    <t>Jord, Mineralisering (N)</t>
  </si>
  <si>
    <t>Gødningstildeling, handelsgødning (N)</t>
  </si>
  <si>
    <t>Gødningstildeling, organsik gødning (N)</t>
  </si>
  <si>
    <t>Gødningstildeling, dyr på græs (N)</t>
  </si>
  <si>
    <t>Fordampning (N)</t>
  </si>
  <si>
    <t>Udvaskning (N)</t>
  </si>
  <si>
    <t>Samlet</t>
  </si>
  <si>
    <r>
      <t>Note 1: Beregning af ændret CO</t>
    </r>
    <r>
      <rPr>
        <i/>
        <vertAlign val="subscript"/>
        <sz val="11"/>
        <color theme="1"/>
        <rFont val="Arial"/>
        <family val="2"/>
      </rPr>
      <t>2</t>
    </r>
    <r>
      <rPr>
        <i/>
        <sz val="11"/>
        <color theme="1"/>
        <rFont val="Arial"/>
        <family val="2"/>
      </rPr>
      <t xml:space="preserve">e emission ved ændret drift af planteavl kan foretages direkte i regnskabet  </t>
    </r>
  </si>
  <si>
    <t>Note 2: Efter og mellemafgrøder beregnes som kulstofbinding på landbrugsjord i bilag 7. For at undgå dobbeltberegning sættes den her til 0.</t>
  </si>
  <si>
    <t>Ton N pr ha.</t>
  </si>
  <si>
    <t>Vinterhvede konventionel</t>
  </si>
  <si>
    <t>Vårhvede konventionel</t>
  </si>
  <si>
    <t>Rug konventionel</t>
  </si>
  <si>
    <t>Vinterbyg konventionel</t>
  </si>
  <si>
    <t>Vårbyg konventionel</t>
  </si>
  <si>
    <t>Havre konventionel</t>
  </si>
  <si>
    <t>Triticale og andet korn til modenhed konventionel</t>
  </si>
  <si>
    <t>Majs til opfodring konventionel</t>
  </si>
  <si>
    <t>Kartofler konventionel</t>
  </si>
  <si>
    <t>Lucerne konventionel</t>
  </si>
  <si>
    <t>Bælgsæd til modenhed konventionel</t>
  </si>
  <si>
    <t>Sukkerroer til fabrik + Foderroer konventionel</t>
  </si>
  <si>
    <t>Korn og bælgsæd til ensilering (helsæd) konventionel</t>
  </si>
  <si>
    <t>Græs- og kløvermark i omdriften + Frø til udsæd konventionel</t>
  </si>
  <si>
    <t>Græsarealer uden for omdriften konventionel</t>
  </si>
  <si>
    <t>Raps i alt + Hør + Anden industrifrø konventionel</t>
  </si>
  <si>
    <t>NE</t>
  </si>
  <si>
    <t>Organiskgødning</t>
  </si>
  <si>
    <t>Ændringer i areal samt høstet træ</t>
  </si>
  <si>
    <r>
      <t>Arealanvendelse (Ha &amp; m</t>
    </r>
    <r>
      <rPr>
        <i/>
        <vertAlign val="superscript"/>
        <sz val="11"/>
        <color theme="1"/>
        <rFont val="Arial"/>
        <family val="2"/>
      </rPr>
      <t>3</t>
    </r>
    <r>
      <rPr>
        <i/>
        <sz val="11"/>
        <color theme="1"/>
        <rFont val="Arial"/>
        <family val="2"/>
      </rPr>
      <t>)</t>
    </r>
  </si>
  <si>
    <t>C (lager/-emission)</t>
  </si>
  <si>
    <r>
      <t>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-e ha</t>
    </r>
  </si>
  <si>
    <r>
      <t>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e total </t>
    </r>
  </si>
  <si>
    <t xml:space="preserve">Arealanvendelse, ha </t>
  </si>
  <si>
    <t xml:space="preserve">Blivende skov &gt;30 år (&gt;28 år) </t>
  </si>
  <si>
    <t xml:space="preserve">Blivende landbrugsjord  &gt;20 år (&gt;13 år) </t>
  </si>
  <si>
    <t xml:space="preserve">Blivende 'permanent' græs  &gt;20 år (&gt;13 år) </t>
  </si>
  <si>
    <t xml:space="preserve">Blivende vådområde (tørvegravning)  &gt;20 år (&gt;13 år) </t>
  </si>
  <si>
    <t xml:space="preserve">Blivende sø, å, mv.  &gt;20 år (&gt;13 år) </t>
  </si>
  <si>
    <t xml:space="preserve">Blivende bebyggelse   &gt;20 år (&gt;13 år) </t>
  </si>
  <si>
    <t xml:space="preserve">Blivende 'øvrigt' areal  &gt;20 år (&gt;13 år) </t>
  </si>
  <si>
    <t xml:space="preserve">Mineralisering ved blivende areal </t>
  </si>
  <si>
    <t xml:space="preserve">Skovrejsning &lt; 30 år (&lt; 28år) </t>
  </si>
  <si>
    <t>Omlægning til landbrugsjord &lt; 20år (&lt;13år)</t>
  </si>
  <si>
    <t>Omlægning til 'permanent' græs &lt; 20år (&lt;13år)</t>
  </si>
  <si>
    <t>Omlægning til vådområde (periodisk oversvømmet) &lt; 20år (&lt;13år)</t>
  </si>
  <si>
    <t>Omlægning til sø , genslyngning å, mv &lt; 20år (&lt;13år)</t>
  </si>
  <si>
    <t>Omlægning til bebyggelse &lt; 20år (&lt;13år)</t>
  </si>
  <si>
    <t>Omlægning til 'øvrigt' areal &lt; 20år (&lt;13år)</t>
  </si>
  <si>
    <t>Mineralisering ved omlægning til landbrugsjord</t>
  </si>
  <si>
    <t>Mineralisering ved omlægning til permanent græs</t>
  </si>
  <si>
    <t>Mineralisering ved omlægning til bebyggelse</t>
  </si>
  <si>
    <t>Dræning af organisk jord 6-12% OC</t>
  </si>
  <si>
    <t>Dræning af organisk jord 12-100% OC</t>
  </si>
  <si>
    <t>Genoversvømning 6 - 12% OC</t>
  </si>
  <si>
    <t>Genoversvømning 6 - 100% OC</t>
  </si>
  <si>
    <t xml:space="preserve">Tørvegravning </t>
  </si>
  <si>
    <t xml:space="preserve">Periodisk oversvømmet vådområde </t>
  </si>
  <si>
    <t xml:space="preserve">Naturbrand </t>
  </si>
  <si>
    <t xml:space="preserve">Kontrolleret afbrænding af hede areal </t>
  </si>
  <si>
    <r>
      <t>Brug af høstede træprodukter, m</t>
    </r>
    <r>
      <rPr>
        <vertAlign val="superscript"/>
        <sz val="11"/>
        <color theme="1"/>
        <rFont val="Arial"/>
        <family val="2"/>
      </rPr>
      <t>3</t>
    </r>
  </si>
  <si>
    <t>Savtræ i brug</t>
  </si>
  <si>
    <t>træpaneler i brug</t>
  </si>
  <si>
    <t>papir og pap i brug</t>
  </si>
  <si>
    <t>Samlet emission udledning/lager</t>
  </si>
  <si>
    <t xml:space="preserve">Fordeling af udledning fra landbrug </t>
  </si>
  <si>
    <t>Skov (Ha)</t>
  </si>
  <si>
    <t>Landbrugsjord (Ha)</t>
  </si>
  <si>
    <t>Permanent græs (Ha)</t>
  </si>
  <si>
    <t>Vådområde (periodisk oversvømmet) (Ha)</t>
  </si>
  <si>
    <t>Bebyggelse (Ha)</t>
  </si>
  <si>
    <t>Øvrigt areal (Ha)</t>
  </si>
  <si>
    <t>årlig ændring i puljen af høstede træprodukter (m3)</t>
  </si>
  <si>
    <r>
      <t>Udledning fra Industri (Ton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-e)</t>
    </r>
  </si>
  <si>
    <t>Mineralsk industri</t>
  </si>
  <si>
    <t xml:space="preserve">Kemisk industri </t>
  </si>
  <si>
    <t>Metalindustri</t>
  </si>
  <si>
    <t xml:space="preserve">Brug af brændstof og opløsningsmiddel (ej energirelateret) </t>
  </si>
  <si>
    <t xml:space="preserve">Elektronikindustri </t>
  </si>
  <si>
    <t xml:space="preserve">Ozon-erstattende produkter </t>
  </si>
  <si>
    <t xml:space="preserve">Anden produktfremstilling og anvendelse </t>
  </si>
  <si>
    <t>Total fra industrielle processer</t>
  </si>
  <si>
    <r>
      <t>Fordeling af udledningstyper pr. industri (Ton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-e)</t>
    </r>
  </si>
  <si>
    <r>
      <t>CO</t>
    </r>
    <r>
      <rPr>
        <vertAlign val="subscript"/>
        <sz val="11"/>
        <color theme="1"/>
        <rFont val="Calibri"/>
        <family val="2"/>
        <scheme val="minor"/>
      </rPr>
      <t>2</t>
    </r>
  </si>
  <si>
    <r>
      <t>CH</t>
    </r>
    <r>
      <rPr>
        <vertAlign val="subscript"/>
        <sz val="11"/>
        <color theme="1"/>
        <rFont val="Calibri"/>
        <family val="2"/>
        <scheme val="minor"/>
      </rPr>
      <t>4</t>
    </r>
  </si>
  <si>
    <r>
      <t>N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</t>
    </r>
  </si>
  <si>
    <t>F-gasser</t>
  </si>
  <si>
    <t xml:space="preserve">Geografisk klimaregnskab for industrielle processer og produktanvendelse </t>
  </si>
  <si>
    <t>Viborg kommune</t>
  </si>
  <si>
    <t>Industri (ton)</t>
  </si>
  <si>
    <t xml:space="preserve">Mineralsk industri </t>
  </si>
  <si>
    <r>
      <t>F-gasser (HFC, PFC) opgjort i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e </t>
    </r>
  </si>
  <si>
    <t xml:space="preserve">Cementproduktion </t>
  </si>
  <si>
    <t xml:space="preserve">Kalkproduktion </t>
  </si>
  <si>
    <t xml:space="preserve">Glasproduktion </t>
  </si>
  <si>
    <t>IE</t>
  </si>
  <si>
    <t xml:space="preserve">Keramik </t>
  </si>
  <si>
    <t xml:space="preserve">Anden anvendelse af sodaaske  </t>
  </si>
  <si>
    <t xml:space="preserve">Våd røggasrensning </t>
  </si>
  <si>
    <t xml:space="preserve">Stenuldsproduktion </t>
  </si>
  <si>
    <t>Fremstillilng af ikke meltalholdige produkter</t>
  </si>
  <si>
    <t>Anden råstofindvinding</t>
  </si>
  <si>
    <t xml:space="preserve">Produktion af katalysatorer og nitrat gødning </t>
  </si>
  <si>
    <t>Produktion af kemiske ingredienser</t>
  </si>
  <si>
    <t xml:space="preserve">Pesticid produktion </t>
  </si>
  <si>
    <t xml:space="preserve">Produktion af tjæreprodukter </t>
  </si>
  <si>
    <t xml:space="preserve">Sekundær produktion af bly </t>
  </si>
  <si>
    <t xml:space="preserve">Forbrug af smøremiddel </t>
  </si>
  <si>
    <t xml:space="preserve">Forbrug af paraffinvoks </t>
  </si>
  <si>
    <t xml:space="preserve">Forbrug af opløsningsmidler </t>
  </si>
  <si>
    <t xml:space="preserve">Asfaltering af vej </t>
  </si>
  <si>
    <t>Produktion af tagpap</t>
  </si>
  <si>
    <t xml:space="preserve">Urea anvendt i katalysatorer </t>
  </si>
  <si>
    <t xml:space="preserve">Optiske fibre </t>
  </si>
  <si>
    <t xml:space="preserve">Køling ved ekstremt lav temperatur </t>
  </si>
  <si>
    <t xml:space="preserve">Køling og airconditionering </t>
  </si>
  <si>
    <t xml:space="preserve">Skumblæsemidler </t>
  </si>
  <si>
    <t xml:space="preserve">Aerosoler </t>
  </si>
  <si>
    <t>Medicinsk forbrug</t>
  </si>
  <si>
    <t xml:space="preserve">Drivmiddel til tryk - og aerosolprodukter </t>
  </si>
  <si>
    <t>Fyrværkeri</t>
  </si>
  <si>
    <t>Tobak</t>
  </si>
  <si>
    <t>Trækul (grillkul)</t>
  </si>
  <si>
    <t xml:space="preserve">Brug af elektronisk udstyr </t>
  </si>
  <si>
    <t>Antal indbyggere:</t>
  </si>
  <si>
    <t xml:space="preserve">Geografisk energibalance for </t>
  </si>
  <si>
    <t>Enheder:</t>
  </si>
  <si>
    <t>TJ, tons</t>
  </si>
  <si>
    <t>Viborg Kommune 2018</t>
  </si>
  <si>
    <t xml:space="preserve">  LPG og petroleum</t>
  </si>
  <si>
    <t xml:space="preserve">  Kul</t>
  </si>
  <si>
    <t xml:space="preserve">  Fuelolie</t>
  </si>
  <si>
    <t xml:space="preserve">  Brændselsolie</t>
  </si>
  <si>
    <t xml:space="preserve">  Dieselolie</t>
  </si>
  <si>
    <t xml:space="preserve">  JP1</t>
  </si>
  <si>
    <t xml:space="preserve">  Benzin</t>
  </si>
  <si>
    <t xml:space="preserve">  Naturgas</t>
  </si>
  <si>
    <t xml:space="preserve">  Biobrændstof og energiafgrøder</t>
  </si>
  <si>
    <t xml:space="preserve">  Faktisk energiforbrug</t>
  </si>
  <si>
    <t xml:space="preserve">  El</t>
  </si>
  <si>
    <t xml:space="preserve">  Proces</t>
  </si>
  <si>
    <t xml:space="preserve">  Varme</t>
  </si>
  <si>
    <t xml:space="preserve">  Fjernvarmenet</t>
  </si>
  <si>
    <t xml:space="preserve">  Samlet</t>
  </si>
  <si>
    <t xml:space="preserve">  Boliger og fritidshuse</t>
  </si>
  <si>
    <t xml:space="preserve">  Offentlig service</t>
  </si>
  <si>
    <t xml:space="preserve">  Privat service</t>
  </si>
  <si>
    <t xml:space="preserve">  Detail- og engroshandel</t>
  </si>
  <si>
    <t xml:space="preserve">  Bygge- og anlægsvirksomhed</t>
  </si>
  <si>
    <t xml:space="preserve">  Fremstillingsvirksomhed</t>
  </si>
  <si>
    <t xml:space="preserve">  Gartneri</t>
  </si>
  <si>
    <t xml:space="preserve">  Landbrug</t>
  </si>
  <si>
    <t xml:space="preserve">  Transport</t>
  </si>
  <si>
    <t>Dieselbiler</t>
  </si>
  <si>
    <t>Varebiler</t>
  </si>
  <si>
    <t>Busser</t>
  </si>
  <si>
    <t>Lastbiler m.m.</t>
  </si>
  <si>
    <t>Traktorer</t>
  </si>
  <si>
    <t>Tog</t>
  </si>
  <si>
    <t>Fly</t>
  </si>
  <si>
    <t>Skibe</t>
  </si>
  <si>
    <t>CO2-emissioner (1.000 tons)</t>
  </si>
  <si>
    <t>tons/indbygger</t>
  </si>
  <si>
    <t>CO2-emission (tons/TJ)</t>
  </si>
  <si>
    <t>Virkningsgrad i %</t>
  </si>
  <si>
    <t>Slutforbrug TJ</t>
  </si>
  <si>
    <t>Brændsel i tons</t>
  </si>
  <si>
    <t>Transportmiddel</t>
  </si>
  <si>
    <t>CO2-e i tons</t>
  </si>
  <si>
    <t>Energiforbrug i tons brændsel</t>
  </si>
  <si>
    <t>Transport energiregnskab</t>
  </si>
  <si>
    <t>Viborg Kommune 1990</t>
  </si>
  <si>
    <t>Benzinbiler</t>
  </si>
  <si>
    <t>År 1990</t>
  </si>
  <si>
    <t>Elnetvirkningsgrad:</t>
  </si>
  <si>
    <t>%</t>
  </si>
  <si>
    <t>Brændsel</t>
  </si>
  <si>
    <t>Anlægstype</t>
  </si>
  <si>
    <t>Virkningsgrad</t>
  </si>
  <si>
    <t>Elnet</t>
  </si>
  <si>
    <t>Fjernvarmenet</t>
  </si>
  <si>
    <t>Slutforbrug</t>
  </si>
  <si>
    <t xml:space="preserve">  Elimport</t>
  </si>
  <si>
    <t xml:space="preserve">  Vindenergi</t>
  </si>
  <si>
    <t xml:space="preserve">  Vandenergi</t>
  </si>
  <si>
    <t xml:space="preserve">  Solenergi</t>
  </si>
  <si>
    <t xml:space="preserve">  Geotermi</t>
  </si>
  <si>
    <t xml:space="preserve">  Varmekilder til varmepumper</t>
  </si>
  <si>
    <t xml:space="preserve">  Husdyrsgødning</t>
  </si>
  <si>
    <t xml:space="preserve">  Halm</t>
  </si>
  <si>
    <t xml:space="preserve">  Brænde og træflis</t>
  </si>
  <si>
    <t xml:space="preserve">  Træpiller og træaffald</t>
  </si>
  <si>
    <t xml:space="preserve">  Organisk affald, industri</t>
  </si>
  <si>
    <t xml:space="preserve">  Organisk affald, husholdninger</t>
  </si>
  <si>
    <t xml:space="preserve">  Deponi, slam, renseanlæg</t>
  </si>
  <si>
    <t xml:space="preserve">  Affald, ikke bionedbrydeligt</t>
  </si>
  <si>
    <t xml:space="preserve">  Ab værk</t>
  </si>
  <si>
    <t xml:space="preserve">  An forbruger</t>
  </si>
  <si>
    <t>Elkomfur</t>
  </si>
  <si>
    <t>Elvandvarmer</t>
  </si>
  <si>
    <t>Elradiator</t>
  </si>
  <si>
    <t>Belysning</t>
  </si>
  <si>
    <t>Elkompressorer</t>
  </si>
  <si>
    <t>Elmotorer m.m.</t>
  </si>
  <si>
    <t>Varmepumper, individuel</t>
  </si>
  <si>
    <t>Elimport</t>
  </si>
  <si>
    <t>Gaskomfur, proces, m.m.</t>
  </si>
  <si>
    <t>Gasoliekedel, individuel</t>
  </si>
  <si>
    <t>Naturgaskedel, individuel</t>
  </si>
  <si>
    <t>Træpillekedel, individuel</t>
  </si>
  <si>
    <t>Brændekedel og -ovn, individuel</t>
  </si>
  <si>
    <t>Halmfyr, individuel</t>
  </si>
  <si>
    <t>Solvarmeanlæg</t>
  </si>
  <si>
    <t xml:space="preserve">Gasoliekedel, erhverv </t>
  </si>
  <si>
    <t xml:space="preserve">Naturgaskedel, erhverv </t>
  </si>
  <si>
    <t>Industrikedel, erhverv</t>
  </si>
  <si>
    <t xml:space="preserve">Solcelleanlæg </t>
  </si>
  <si>
    <t>Vindkraftanlæg, land</t>
  </si>
  <si>
    <t>Vindkraftanlæg, kystnære (50 %)</t>
  </si>
  <si>
    <t>Vandkraftanlæg</t>
  </si>
  <si>
    <t>Bølgekraftanlæg</t>
  </si>
  <si>
    <t>Biogasanlæg, opgradering</t>
  </si>
  <si>
    <t>Biogasanlæg, motor</t>
  </si>
  <si>
    <t>Centrale kraftværker, dampturbine</t>
  </si>
  <si>
    <t>Centrale kraftværker, forbrændingsmotor</t>
  </si>
  <si>
    <t>Centrale kraftværker, gasturbine</t>
  </si>
  <si>
    <t>Centrale kraftværker, kedel</t>
  </si>
  <si>
    <t>Centrale kraftværker, varmepumpe</t>
  </si>
  <si>
    <t>Centrale kraftværker, elpatron</t>
  </si>
  <si>
    <t>Centrale kraftværker, fjernvarmeproduktion</t>
  </si>
  <si>
    <t>Affaldsforbrændingsanlæg, dampturbine</t>
  </si>
  <si>
    <t>Affaldsforbrændingsanlæg, kedel</t>
  </si>
  <si>
    <t>Affaldsforbrændingsanlæg, kombianlæg</t>
  </si>
  <si>
    <t>Affaldsforbrændingsanlæg, fjernvarmeproduktion</t>
  </si>
  <si>
    <t>Decentrale KV-værker, dampturbine</t>
  </si>
  <si>
    <t>Decentrale KV-værker, forbrændingsmotor</t>
  </si>
  <si>
    <t>Decentrale KV-værker, gasturbine</t>
  </si>
  <si>
    <t>Decentrale KV-værker, kedel</t>
  </si>
  <si>
    <t>Decentrale KV-værker, varmepumpe</t>
  </si>
  <si>
    <t>Decentrale KV-værker, elpatron</t>
  </si>
  <si>
    <t>Decentrale KV-værker, solvarme</t>
  </si>
  <si>
    <t>Decentrale KV-værker, kombianlæg</t>
  </si>
  <si>
    <t>Decentrale KV-værker, fjernvarmeproduktion</t>
  </si>
  <si>
    <t>Lokale KV-værker, motor</t>
  </si>
  <si>
    <t>Lokale KV-værker, kedel</t>
  </si>
  <si>
    <t>Lokale KV-værker, fjernvarmeproduktion</t>
  </si>
  <si>
    <t>Fjernvarmeværker, kedel</t>
  </si>
  <si>
    <t>Fjernvarmeværker, varmepumpe</t>
  </si>
  <si>
    <t>Fjernvarmeværker, elpatron</t>
  </si>
  <si>
    <t>Fjernvarmeværker, geotermi</t>
  </si>
  <si>
    <t>Fjernvarmeværker, solvarme</t>
  </si>
  <si>
    <t>Import fjernvarme</t>
  </si>
  <si>
    <t>Fjernvarmeværker, fjernvarmeproduktion</t>
  </si>
  <si>
    <t>Industrielle KV-værker, dampturbine</t>
  </si>
  <si>
    <t>Industrielle KV-værker, forbrændingsmotor</t>
  </si>
  <si>
    <t>Industrielle KV-værker, gasturbine</t>
  </si>
  <si>
    <t>Industrielle KV-værker, kedel</t>
  </si>
  <si>
    <t>Industrielle KV-værker, kombianlæg</t>
  </si>
  <si>
    <t>Industrielle KV-værker, overskudsvarme</t>
  </si>
  <si>
    <t>Industrielle KV-værker, forbrug, eget forbrug, el</t>
  </si>
  <si>
    <t>Industrielle KV-værker, forbrug, eget forbrug, varme</t>
  </si>
  <si>
    <t>Industrielle KV-værker, fjernvarmeproduktion</t>
  </si>
  <si>
    <t>Lokalt biomassepotentiale</t>
  </si>
  <si>
    <t>% VE (Global)</t>
  </si>
  <si>
    <t>Udnyttelsesprocent af lokalt biomassepotentiale</t>
  </si>
  <si>
    <t>% VE (Lokal)</t>
  </si>
  <si>
    <t>%)</t>
  </si>
  <si>
    <t xml:space="preserve">  Elimport   (heraf VE-andel:</t>
  </si>
  <si>
    <r>
      <t>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-emissioner (1.000 tons)</t>
    </r>
  </si>
  <si>
    <r>
      <t>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-emission (tons/TJ)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</si>
</sst>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#,##0.000"/>
    <numFmt numFmtId="166" formatCode="0.000"/>
    <numFmt numFmtId="167" formatCode="#,##0.0"/>
    <numFmt numFmtId="168" formatCode="_ * #,##0.00_ ;_ * \-#,##0.00_ ;_ * &quot;-&quot;??_ ;_ @_ "/>
    <numFmt numFmtId="169" formatCode="###,\ ###,##0;[Red]\-###,##0;&quot;-&quot;"/>
    <numFmt numFmtId="170" formatCode="_(* #,##0.00_);_(* \(#,##0.00\);_(* &quot;-&quot;??_);_(@_)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8"/>
      <color theme="1"/>
      <name val="Arial"/>
      <family val="2"/>
    </font>
    <font>
      <vertAlign val="superscript"/>
      <sz val="11"/>
      <color theme="1"/>
      <name val="Arial"/>
      <family val="2"/>
    </font>
    <font>
      <b/>
      <sz val="11"/>
      <color theme="1"/>
      <name val="Arial"/>
      <family val="2"/>
    </font>
    <font>
      <vertAlign val="subscript"/>
      <sz val="11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bscript"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1"/>
      <color theme="1"/>
      <name val="Arial"/>
      <family val="2"/>
    </font>
    <font>
      <b/>
      <sz val="22"/>
      <color theme="1"/>
      <name val="Arial"/>
      <family val="2"/>
    </font>
    <font>
      <sz val="10"/>
      <color rgb="FFFF0000"/>
      <name val="Arial"/>
      <family val="2"/>
    </font>
    <font>
      <i/>
      <sz val="9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vertAlign val="superscript"/>
      <sz val="11"/>
      <name val="Arial"/>
      <family val="2"/>
    </font>
    <font>
      <vertAlign val="subscript"/>
      <sz val="10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20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i/>
      <vertAlign val="subscript"/>
      <sz val="11"/>
      <color theme="1"/>
      <name val="Arial"/>
      <family val="2"/>
    </font>
    <font>
      <b/>
      <vertAlign val="subscript"/>
      <sz val="10"/>
      <color theme="1"/>
      <name val="Arial"/>
      <family val="2"/>
    </font>
    <font>
      <b/>
      <sz val="9"/>
      <color theme="1"/>
      <name val="Arial"/>
      <family val="2"/>
    </font>
    <font>
      <b/>
      <vertAlign val="subscript"/>
      <sz val="9"/>
      <color theme="1"/>
      <name val="Arial"/>
      <family val="2"/>
    </font>
    <font>
      <i/>
      <sz val="12"/>
      <color theme="1"/>
      <name val="Arial"/>
      <family val="2"/>
    </font>
    <font>
      <b/>
      <sz val="11"/>
      <color rgb="FFFF0000"/>
      <name val="Arial"/>
      <family val="2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vertAlign val="superscript"/>
      <sz val="10"/>
      <name val="Arial"/>
      <family val="2"/>
    </font>
    <font>
      <i/>
      <vertAlign val="superscript"/>
      <sz val="11"/>
      <color theme="1"/>
      <name val="Arial"/>
      <family val="2"/>
    </font>
    <font>
      <b/>
      <sz val="16"/>
      <color theme="1"/>
      <name val="Arial"/>
      <family val="2"/>
    </font>
    <font>
      <sz val="11"/>
      <color rgb="FFFF0000"/>
      <name val="Arial"/>
      <family val="2"/>
    </font>
    <font>
      <b/>
      <vertAlign val="sub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8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36"/>
      <color rgb="FFFF0000"/>
      <name val="Arial"/>
      <family val="2"/>
    </font>
    <font>
      <sz val="11"/>
      <color rgb="FF9C0006"/>
      <name val="Calibri"/>
      <family val="2"/>
      <scheme val="minor"/>
    </font>
    <font>
      <b/>
      <sz val="16"/>
      <name val="Arial"/>
      <family val="2"/>
    </font>
    <font>
      <b/>
      <sz val="9"/>
      <color indexed="81"/>
      <name val="Tahoma"/>
      <family val="2"/>
    </font>
    <font>
      <b/>
      <vertAlign val="subscript"/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4CCC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7CE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12" fillId="0" borderId="0"/>
    <xf numFmtId="0" fontId="25" fillId="11" borderId="0" applyNumberFormat="0" applyBorder="0" applyAlignment="0" applyProtection="0"/>
    <xf numFmtId="0" fontId="1" fillId="12" borderId="0" applyNumberFormat="0" applyBorder="0" applyAlignment="0" applyProtection="0"/>
    <xf numFmtId="0" fontId="34" fillId="0" borderId="0"/>
    <xf numFmtId="9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46" fillId="15" borderId="0" applyNumberFormat="0" applyBorder="0" applyAlignment="0" applyProtection="0"/>
    <xf numFmtId="170" fontId="12" fillId="0" borderId="0" applyFont="0" applyFill="0" applyBorder="0" applyAlignment="0" applyProtection="0"/>
  </cellStyleXfs>
  <cellXfs count="581">
    <xf numFmtId="0" fontId="0" fillId="0" borderId="0" xfId="0"/>
    <xf numFmtId="0" fontId="3" fillId="2" borderId="0" xfId="0" applyFont="1" applyFill="1"/>
    <xf numFmtId="0" fontId="3" fillId="0" borderId="0" xfId="0" applyFont="1"/>
    <xf numFmtId="0" fontId="4" fillId="2" borderId="0" xfId="0" applyFont="1" applyFill="1"/>
    <xf numFmtId="3" fontId="3" fillId="0" borderId="1" xfId="0" applyNumberFormat="1" applyFont="1" applyBorder="1"/>
    <xf numFmtId="0" fontId="6" fillId="0" borderId="2" xfId="0" applyFont="1" applyBorder="1" applyAlignment="1">
      <alignment wrapText="1"/>
    </xf>
    <xf numFmtId="0" fontId="6" fillId="4" borderId="1" xfId="0" applyFont="1" applyFill="1" applyBorder="1"/>
    <xf numFmtId="0" fontId="6" fillId="4" borderId="4" xfId="0" applyFont="1" applyFill="1" applyBorder="1"/>
    <xf numFmtId="0" fontId="6" fillId="4" borderId="5" xfId="0" applyFont="1" applyFill="1" applyBorder="1"/>
    <xf numFmtId="0" fontId="6" fillId="4" borderId="6" xfId="0" applyFont="1" applyFill="1" applyBorder="1"/>
    <xf numFmtId="0" fontId="3" fillId="5" borderId="7" xfId="0" applyFont="1" applyFill="1" applyBorder="1"/>
    <xf numFmtId="0" fontId="3" fillId="0" borderId="1" xfId="0" applyFont="1" applyBorder="1" applyAlignment="1">
      <alignment wrapText="1"/>
    </xf>
    <xf numFmtId="0" fontId="3" fillId="5" borderId="10" xfId="0" applyFont="1" applyFill="1" applyBorder="1"/>
    <xf numFmtId="3" fontId="3" fillId="0" borderId="11" xfId="0" applyNumberFormat="1" applyFont="1" applyBorder="1"/>
    <xf numFmtId="3" fontId="3" fillId="0" borderId="12" xfId="0" applyNumberFormat="1" applyFont="1" applyBorder="1"/>
    <xf numFmtId="9" fontId="3" fillId="0" borderId="13" xfId="1" applyFont="1" applyBorder="1"/>
    <xf numFmtId="0" fontId="3" fillId="5" borderId="14" xfId="0" applyFont="1" applyFill="1" applyBorder="1"/>
    <xf numFmtId="3" fontId="3" fillId="0" borderId="16" xfId="0" applyNumberFormat="1" applyFont="1" applyBorder="1"/>
    <xf numFmtId="0" fontId="3" fillId="5" borderId="17" xfId="0" applyFont="1" applyFill="1" applyBorder="1"/>
    <xf numFmtId="3" fontId="3" fillId="0" borderId="18" xfId="0" applyNumberFormat="1" applyFont="1" applyBorder="1"/>
    <xf numFmtId="0" fontId="6" fillId="5" borderId="20" xfId="0" applyFont="1" applyFill="1" applyBorder="1"/>
    <xf numFmtId="0" fontId="6" fillId="5" borderId="17" xfId="0" applyFont="1" applyFill="1" applyBorder="1"/>
    <xf numFmtId="3" fontId="3" fillId="0" borderId="21" xfId="0" applyNumberFormat="1" applyFont="1" applyBorder="1"/>
    <xf numFmtId="0" fontId="0" fillId="6" borderId="0" xfId="0" applyFill="1"/>
    <xf numFmtId="0" fontId="0" fillId="0" borderId="5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0" xfId="0" applyBorder="1"/>
    <xf numFmtId="0" fontId="0" fillId="0" borderId="26" xfId="0" applyBorder="1"/>
    <xf numFmtId="0" fontId="0" fillId="6" borderId="0" xfId="0" applyFill="1" applyBorder="1"/>
    <xf numFmtId="0" fontId="0" fillId="0" borderId="28" xfId="0" applyBorder="1"/>
    <xf numFmtId="0" fontId="0" fillId="0" borderId="29" xfId="0" applyBorder="1"/>
    <xf numFmtId="0" fontId="0" fillId="0" borderId="3" xfId="0" applyBorder="1" applyAlignment="1">
      <alignment horizontal="right"/>
    </xf>
    <xf numFmtId="0" fontId="0" fillId="0" borderId="23" xfId="0" applyBorder="1" applyAlignment="1">
      <alignment horizontal="right"/>
    </xf>
    <xf numFmtId="0" fontId="0" fillId="0" borderId="27" xfId="0" applyBorder="1" applyAlignment="1">
      <alignment horizontal="right"/>
    </xf>
    <xf numFmtId="0" fontId="6" fillId="4" borderId="30" xfId="0" applyFont="1" applyFill="1" applyBorder="1"/>
    <xf numFmtId="0" fontId="0" fillId="0" borderId="25" xfId="0" applyBorder="1" applyAlignment="1">
      <alignment wrapText="1"/>
    </xf>
    <xf numFmtId="0" fontId="3" fillId="0" borderId="0" xfId="0" applyFont="1" applyBorder="1"/>
    <xf numFmtId="3" fontId="3" fillId="0" borderId="0" xfId="0" applyNumberFormat="1" applyFont="1" applyBorder="1" applyAlignment="1">
      <alignment horizontal="right"/>
    </xf>
    <xf numFmtId="0" fontId="3" fillId="0" borderId="3" xfId="0" applyFont="1" applyBorder="1"/>
    <xf numFmtId="0" fontId="3" fillId="0" borderId="5" xfId="0" applyFont="1" applyBorder="1" applyAlignment="1">
      <alignment horizontal="right"/>
    </xf>
    <xf numFmtId="3" fontId="3" fillId="3" borderId="5" xfId="0" applyNumberFormat="1" applyFont="1" applyFill="1" applyBorder="1"/>
    <xf numFmtId="0" fontId="3" fillId="0" borderId="3" xfId="0" applyFont="1" applyBorder="1" applyAlignment="1">
      <alignment horizontal="right"/>
    </xf>
    <xf numFmtId="3" fontId="3" fillId="0" borderId="5" xfId="0" applyNumberFormat="1" applyFont="1" applyBorder="1"/>
    <xf numFmtId="3" fontId="3" fillId="3" borderId="5" xfId="0" applyNumberFormat="1" applyFont="1" applyFill="1" applyBorder="1" applyAlignment="1">
      <alignment horizontal="right"/>
    </xf>
    <xf numFmtId="3" fontId="3" fillId="3" borderId="5" xfId="0" applyNumberFormat="1" applyFont="1" applyFill="1" applyBorder="1" applyAlignment="1">
      <alignment horizontal="left"/>
    </xf>
    <xf numFmtId="0" fontId="3" fillId="0" borderId="23" xfId="0" applyFont="1" applyBorder="1" applyAlignment="1">
      <alignment horizontal="right"/>
    </xf>
    <xf numFmtId="3" fontId="3" fillId="3" borderId="24" xfId="0" applyNumberFormat="1" applyFont="1" applyFill="1" applyBorder="1"/>
    <xf numFmtId="0" fontId="3" fillId="0" borderId="27" xfId="0" applyFont="1" applyBorder="1" applyAlignment="1">
      <alignment horizontal="right"/>
    </xf>
    <xf numFmtId="3" fontId="3" fillId="0" borderId="28" xfId="0" applyNumberFormat="1" applyFont="1" applyBorder="1"/>
    <xf numFmtId="3" fontId="3" fillId="7" borderId="1" xfId="0" applyNumberFormat="1" applyFont="1" applyFill="1" applyBorder="1"/>
    <xf numFmtId="0" fontId="6" fillId="0" borderId="3" xfId="0" applyFont="1" applyBorder="1" applyAlignment="1">
      <alignment vertical="center"/>
    </xf>
    <xf numFmtId="2" fontId="0" fillId="7" borderId="27" xfId="0" applyNumberFormat="1" applyFill="1" applyBorder="1"/>
    <xf numFmtId="2" fontId="0" fillId="7" borderId="28" xfId="0" applyNumberFormat="1" applyFill="1" applyBorder="1"/>
    <xf numFmtId="2" fontId="0" fillId="7" borderId="29" xfId="0" applyNumberFormat="1" applyFill="1" applyBorder="1"/>
    <xf numFmtId="2" fontId="0" fillId="0" borderId="0" xfId="0" applyNumberFormat="1"/>
    <xf numFmtId="2" fontId="0" fillId="0" borderId="7" xfId="0" applyNumberFormat="1" applyBorder="1"/>
    <xf numFmtId="2" fontId="0" fillId="0" borderId="8" xfId="0" applyNumberFormat="1" applyBorder="1"/>
    <xf numFmtId="2" fontId="0" fillId="0" borderId="9" xfId="0" applyNumberFormat="1" applyBorder="1"/>
    <xf numFmtId="2" fontId="0" fillId="0" borderId="14" xfId="0" applyNumberFormat="1" applyBorder="1"/>
    <xf numFmtId="2" fontId="0" fillId="0" borderId="1" xfId="0" applyNumberFormat="1" applyBorder="1"/>
    <xf numFmtId="2" fontId="0" fillId="0" borderId="15" xfId="0" applyNumberFormat="1" applyBorder="1"/>
    <xf numFmtId="2" fontId="0" fillId="0" borderId="17" xfId="0" applyNumberFormat="1" applyBorder="1"/>
    <xf numFmtId="2" fontId="0" fillId="0" borderId="18" xfId="0" applyNumberFormat="1" applyBorder="1"/>
    <xf numFmtId="2" fontId="0" fillId="0" borderId="19" xfId="0" applyNumberFormat="1" applyBorder="1"/>
    <xf numFmtId="0" fontId="2" fillId="0" borderId="23" xfId="0" applyFont="1" applyBorder="1" applyAlignment="1">
      <alignment horizontal="left" wrapText="1"/>
    </xf>
    <xf numFmtId="0" fontId="2" fillId="5" borderId="7" xfId="0" applyFont="1" applyFill="1" applyBorder="1" applyAlignment="1">
      <alignment horizontal="left"/>
    </xf>
    <xf numFmtId="0" fontId="11" fillId="5" borderId="10" xfId="0" applyFont="1" applyFill="1" applyBorder="1" applyAlignment="1">
      <alignment horizontal="left"/>
    </xf>
    <xf numFmtId="49" fontId="13" fillId="5" borderId="14" xfId="2" applyNumberFormat="1" applyFont="1" applyFill="1" applyBorder="1" applyAlignment="1">
      <alignment horizontal="left"/>
    </xf>
    <xf numFmtId="49" fontId="13" fillId="5" borderId="17" xfId="2" applyNumberFormat="1" applyFont="1" applyFill="1" applyBorder="1" applyAlignment="1">
      <alignment horizontal="left"/>
    </xf>
    <xf numFmtId="0" fontId="6" fillId="0" borderId="3" xfId="0" applyFont="1" applyBorder="1"/>
    <xf numFmtId="0" fontId="3" fillId="3" borderId="0" xfId="0" applyFont="1" applyFill="1"/>
    <xf numFmtId="1" fontId="12" fillId="3" borderId="0" xfId="2" applyNumberFormat="1" applyFill="1"/>
    <xf numFmtId="3" fontId="12" fillId="3" borderId="0" xfId="2" applyNumberFormat="1" applyFill="1" applyAlignment="1" applyProtection="1">
      <alignment horizontal="left"/>
      <protection locked="0"/>
    </xf>
    <xf numFmtId="0" fontId="14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3" borderId="0" xfId="0" applyFont="1" applyFill="1" applyAlignment="1">
      <alignment horizontal="center"/>
    </xf>
    <xf numFmtId="49" fontId="12" fillId="3" borderId="4" xfId="2" applyNumberFormat="1" applyFill="1" applyBorder="1" applyAlignment="1">
      <alignment horizontal="center" textRotation="90" wrapText="1"/>
    </xf>
    <xf numFmtId="49" fontId="12" fillId="3" borderId="33" xfId="2" applyNumberFormat="1" applyFill="1" applyBorder="1" applyAlignment="1">
      <alignment horizontal="center" textRotation="90" wrapText="1"/>
    </xf>
    <xf numFmtId="49" fontId="16" fillId="0" borderId="33" xfId="2" applyNumberFormat="1" applyFont="1" applyBorder="1" applyAlignment="1">
      <alignment horizontal="center" vertical="center" wrapText="1"/>
    </xf>
    <xf numFmtId="49" fontId="12" fillId="3" borderId="33" xfId="2" applyNumberFormat="1" applyFill="1" applyBorder="1" applyAlignment="1">
      <alignment horizontal="center" textRotation="90" wrapText="1" readingOrder="1"/>
    </xf>
    <xf numFmtId="49" fontId="12" fillId="3" borderId="6" xfId="2" applyNumberFormat="1" applyFill="1" applyBorder="1" applyAlignment="1">
      <alignment horizontal="center" textRotation="90" wrapText="1"/>
    </xf>
    <xf numFmtId="3" fontId="3" fillId="3" borderId="3" xfId="0" applyNumberFormat="1" applyFont="1" applyFill="1" applyBorder="1"/>
    <xf numFmtId="3" fontId="3" fillId="3" borderId="40" xfId="0" applyNumberFormat="1" applyFont="1" applyFill="1" applyBorder="1"/>
    <xf numFmtId="0" fontId="19" fillId="0" borderId="41" xfId="0" applyFont="1" applyBorder="1"/>
    <xf numFmtId="3" fontId="3" fillId="3" borderId="42" xfId="0" applyNumberFormat="1" applyFont="1" applyFill="1" applyBorder="1"/>
    <xf numFmtId="3" fontId="3" fillId="3" borderId="33" xfId="0" applyNumberFormat="1" applyFont="1" applyFill="1" applyBorder="1"/>
    <xf numFmtId="3" fontId="3" fillId="3" borderId="6" xfId="0" applyNumberFormat="1" applyFont="1" applyFill="1" applyBorder="1"/>
    <xf numFmtId="0" fontId="5" fillId="3" borderId="0" xfId="0" applyFont="1" applyFill="1"/>
    <xf numFmtId="0" fontId="2" fillId="5" borderId="31" xfId="0" applyFont="1" applyFill="1" applyBorder="1" applyAlignment="1">
      <alignment horizontal="center" vertical="center"/>
    </xf>
    <xf numFmtId="3" fontId="6" fillId="0" borderId="41" xfId="0" applyNumberFormat="1" applyFont="1" applyBorder="1"/>
    <xf numFmtId="164" fontId="3" fillId="3" borderId="14" xfId="0" applyNumberFormat="1" applyFont="1" applyFill="1" applyBorder="1"/>
    <xf numFmtId="164" fontId="18" fillId="3" borderId="1" xfId="2" applyNumberFormat="1" applyFont="1" applyFill="1" applyBorder="1" applyAlignment="1">
      <alignment vertical="center"/>
    </xf>
    <xf numFmtId="164" fontId="12" fillId="9" borderId="1" xfId="2" applyNumberFormat="1" applyFill="1" applyBorder="1" applyAlignment="1">
      <alignment horizontal="left" indent="1"/>
    </xf>
    <xf numFmtId="164" fontId="18" fillId="3" borderId="1" xfId="2" applyNumberFormat="1" applyFont="1" applyFill="1" applyBorder="1"/>
    <xf numFmtId="164" fontId="3" fillId="3" borderId="15" xfId="0" applyNumberFormat="1" applyFont="1" applyFill="1" applyBorder="1"/>
    <xf numFmtId="164" fontId="18" fillId="3" borderId="14" xfId="2" applyNumberFormat="1" applyFont="1" applyFill="1" applyBorder="1" applyAlignment="1">
      <alignment vertical="center"/>
    </xf>
    <xf numFmtId="164" fontId="3" fillId="3" borderId="1" xfId="0" applyNumberFormat="1" applyFont="1" applyFill="1" applyBorder="1"/>
    <xf numFmtId="164" fontId="3" fillId="3" borderId="39" xfId="0" applyNumberFormat="1" applyFont="1" applyFill="1" applyBorder="1"/>
    <xf numFmtId="164" fontId="3" fillId="3" borderId="30" xfId="0" applyNumberFormat="1" applyFont="1" applyFill="1" applyBorder="1"/>
    <xf numFmtId="164" fontId="12" fillId="9" borderId="30" xfId="2" applyNumberFormat="1" applyFill="1" applyBorder="1" applyAlignment="1">
      <alignment horizontal="left" indent="1"/>
    </xf>
    <xf numFmtId="4" fontId="2" fillId="0" borderId="9" xfId="0" applyNumberFormat="1" applyFont="1" applyBorder="1"/>
    <xf numFmtId="4" fontId="11" fillId="0" borderId="13" xfId="0" applyNumberFormat="1" applyFont="1" applyBorder="1"/>
    <xf numFmtId="4" fontId="2" fillId="0" borderId="15" xfId="0" applyNumberFormat="1" applyFont="1" applyBorder="1"/>
    <xf numFmtId="4" fontId="2" fillId="0" borderId="19" xfId="0" applyNumberFormat="1" applyFont="1" applyBorder="1"/>
    <xf numFmtId="1" fontId="12" fillId="3" borderId="0" xfId="2" applyNumberFormat="1" applyFill="1" applyBorder="1" applyAlignment="1">
      <alignment horizontal="left"/>
    </xf>
    <xf numFmtId="1" fontId="12" fillId="3" borderId="0" xfId="2" applyNumberFormat="1" applyFill="1" applyBorder="1"/>
    <xf numFmtId="3" fontId="12" fillId="3" borderId="0" xfId="2" applyNumberFormat="1" applyFill="1" applyBorder="1" applyAlignment="1" applyProtection="1">
      <alignment horizontal="left"/>
      <protection locked="0"/>
    </xf>
    <xf numFmtId="0" fontId="22" fillId="2" borderId="0" xfId="0" applyFont="1" applyFill="1"/>
    <xf numFmtId="0" fontId="23" fillId="2" borderId="0" xfId="0" applyFont="1" applyFill="1"/>
    <xf numFmtId="0" fontId="24" fillId="10" borderId="0" xfId="0" applyFont="1" applyFill="1"/>
    <xf numFmtId="0" fontId="8" fillId="10" borderId="0" xfId="0" applyFont="1" applyFill="1"/>
    <xf numFmtId="0" fontId="0" fillId="0" borderId="14" xfId="0" applyBorder="1"/>
    <xf numFmtId="0" fontId="0" fillId="0" borderId="17" xfId="0" applyBorder="1"/>
    <xf numFmtId="0" fontId="0" fillId="0" borderId="10" xfId="0" applyBorder="1"/>
    <xf numFmtId="0" fontId="2" fillId="0" borderId="41" xfId="0" applyFont="1" applyBorder="1"/>
    <xf numFmtId="49" fontId="16" fillId="0" borderId="5" xfId="2" applyNumberFormat="1" applyFont="1" applyBorder="1" applyAlignment="1">
      <alignment horizontal="center" wrapText="1"/>
    </xf>
    <xf numFmtId="3" fontId="12" fillId="9" borderId="43" xfId="2" applyNumberFormat="1" applyFill="1" applyBorder="1" applyAlignment="1">
      <alignment horizontal="left" indent="1"/>
    </xf>
    <xf numFmtId="3" fontId="12" fillId="9" borderId="44" xfId="2" applyNumberFormat="1" applyFill="1" applyBorder="1" applyAlignment="1">
      <alignment horizontal="left" indent="1"/>
    </xf>
    <xf numFmtId="3" fontId="12" fillId="9" borderId="45" xfId="2" applyNumberFormat="1" applyFill="1" applyBorder="1" applyAlignment="1">
      <alignment horizontal="left" indent="1"/>
    </xf>
    <xf numFmtId="3" fontId="12" fillId="9" borderId="46" xfId="2" applyNumberFormat="1" applyFill="1" applyBorder="1" applyAlignment="1">
      <alignment horizontal="left" indent="1"/>
    </xf>
    <xf numFmtId="3" fontId="12" fillId="9" borderId="47" xfId="2" applyNumberFormat="1" applyFill="1" applyBorder="1" applyAlignment="1">
      <alignment horizontal="left" indent="1"/>
    </xf>
    <xf numFmtId="3" fontId="12" fillId="9" borderId="48" xfId="2" applyNumberFormat="1" applyFill="1" applyBorder="1" applyAlignment="1">
      <alignment horizontal="left" indent="1"/>
    </xf>
    <xf numFmtId="3" fontId="6" fillId="3" borderId="33" xfId="4" applyNumberFormat="1" applyFont="1" applyFill="1" applyBorder="1" applyAlignment="1">
      <alignment horizontal="left" indent="2"/>
    </xf>
    <xf numFmtId="49" fontId="12" fillId="3" borderId="6" xfId="2" applyNumberFormat="1" applyFill="1" applyBorder="1" applyAlignment="1">
      <alignment horizontal="center" vertical="center" textRotation="90" wrapText="1"/>
    </xf>
    <xf numFmtId="3" fontId="18" fillId="3" borderId="49" xfId="2" applyNumberFormat="1" applyFont="1" applyFill="1" applyBorder="1" applyAlignment="1">
      <alignment horizontal="right" vertical="center"/>
    </xf>
    <xf numFmtId="3" fontId="18" fillId="3" borderId="15" xfId="2" applyNumberFormat="1" applyFont="1" applyFill="1" applyBorder="1" applyAlignment="1">
      <alignment horizontal="right" vertical="center"/>
    </xf>
    <xf numFmtId="3" fontId="18" fillId="3" borderId="15" xfId="2" applyNumberFormat="1" applyFont="1" applyFill="1" applyBorder="1" applyAlignment="1">
      <alignment vertical="center"/>
    </xf>
    <xf numFmtId="3" fontId="18" fillId="3" borderId="15" xfId="0" applyNumberFormat="1" applyFont="1" applyFill="1" applyBorder="1"/>
    <xf numFmtId="3" fontId="18" fillId="3" borderId="50" xfId="0" applyNumberFormat="1" applyFont="1" applyFill="1" applyBorder="1"/>
    <xf numFmtId="3" fontId="18" fillId="3" borderId="19" xfId="0" applyNumberFormat="1" applyFont="1" applyFill="1" applyBorder="1"/>
    <xf numFmtId="3" fontId="18" fillId="3" borderId="9" xfId="0" applyNumberFormat="1" applyFont="1" applyFill="1" applyBorder="1"/>
    <xf numFmtId="3" fontId="18" fillId="3" borderId="13" xfId="0" applyNumberFormat="1" applyFont="1" applyFill="1" applyBorder="1"/>
    <xf numFmtId="3" fontId="18" fillId="3" borderId="51" xfId="0" applyNumberFormat="1" applyFont="1" applyFill="1" applyBorder="1"/>
    <xf numFmtId="0" fontId="0" fillId="0" borderId="52" xfId="0" applyBorder="1"/>
    <xf numFmtId="49" fontId="12" fillId="3" borderId="40" xfId="2" applyNumberFormat="1" applyFill="1" applyBorder="1" applyAlignment="1">
      <alignment horizontal="center" textRotation="90" wrapText="1"/>
    </xf>
    <xf numFmtId="3" fontId="18" fillId="3" borderId="7" xfId="2" applyNumberFormat="1" applyFont="1" applyFill="1" applyBorder="1" applyAlignment="1">
      <alignment horizontal="right" vertical="center"/>
    </xf>
    <xf numFmtId="3" fontId="18" fillId="3" borderId="8" xfId="2" applyNumberFormat="1" applyFont="1" applyFill="1" applyBorder="1" applyAlignment="1">
      <alignment horizontal="right" vertical="center"/>
    </xf>
    <xf numFmtId="3" fontId="18" fillId="3" borderId="14" xfId="2" applyNumberFormat="1" applyFont="1" applyFill="1" applyBorder="1" applyAlignment="1">
      <alignment horizontal="right" vertical="center"/>
    </xf>
    <xf numFmtId="3" fontId="18" fillId="3" borderId="1" xfId="2" applyNumberFormat="1" applyFont="1" applyFill="1" applyBorder="1" applyAlignment="1">
      <alignment horizontal="right" vertical="center"/>
    </xf>
    <xf numFmtId="3" fontId="18" fillId="3" borderId="16" xfId="2" applyNumberFormat="1" applyFont="1" applyFill="1" applyBorder="1" applyAlignment="1">
      <alignment horizontal="right" vertical="center"/>
    </xf>
    <xf numFmtId="3" fontId="18" fillId="3" borderId="14" xfId="0" applyNumberFormat="1" applyFont="1" applyFill="1" applyBorder="1"/>
    <xf numFmtId="3" fontId="18" fillId="3" borderId="1" xfId="2" applyNumberFormat="1" applyFont="1" applyFill="1" applyBorder="1" applyAlignment="1">
      <alignment vertical="center"/>
    </xf>
    <xf numFmtId="3" fontId="18" fillId="3" borderId="16" xfId="2" applyNumberFormat="1" applyFont="1" applyFill="1" applyBorder="1" applyAlignment="1">
      <alignment vertical="center"/>
    </xf>
    <xf numFmtId="3" fontId="18" fillId="3" borderId="14" xfId="2" applyNumberFormat="1" applyFont="1" applyFill="1" applyBorder="1" applyAlignment="1">
      <alignment vertical="center"/>
    </xf>
    <xf numFmtId="3" fontId="18" fillId="3" borderId="1" xfId="0" applyNumberFormat="1" applyFont="1" applyFill="1" applyBorder="1"/>
    <xf numFmtId="3" fontId="18" fillId="3" borderId="16" xfId="0" applyNumberFormat="1" applyFont="1" applyFill="1" applyBorder="1"/>
    <xf numFmtId="3" fontId="18" fillId="3" borderId="32" xfId="0" applyNumberFormat="1" applyFont="1" applyFill="1" applyBorder="1"/>
    <xf numFmtId="3" fontId="18" fillId="3" borderId="39" xfId="0" applyNumberFormat="1" applyFont="1" applyFill="1" applyBorder="1"/>
    <xf numFmtId="3" fontId="18" fillId="3" borderId="30" xfId="0" applyNumberFormat="1" applyFont="1" applyFill="1" applyBorder="1"/>
    <xf numFmtId="3" fontId="18" fillId="3" borderId="53" xfId="0" applyNumberFormat="1" applyFont="1" applyFill="1" applyBorder="1"/>
    <xf numFmtId="3" fontId="18" fillId="3" borderId="7" xfId="0" applyNumberFormat="1" applyFont="1" applyFill="1" applyBorder="1"/>
    <xf numFmtId="3" fontId="18" fillId="3" borderId="8" xfId="0" applyNumberFormat="1" applyFont="1" applyFill="1" applyBorder="1"/>
    <xf numFmtId="3" fontId="18" fillId="3" borderId="49" xfId="0" applyNumberFormat="1" applyFont="1" applyFill="1" applyBorder="1"/>
    <xf numFmtId="3" fontId="18" fillId="3" borderId="10" xfId="0" applyNumberFormat="1" applyFont="1" applyFill="1" applyBorder="1"/>
    <xf numFmtId="3" fontId="18" fillId="3" borderId="11" xfId="0" applyNumberFormat="1" applyFont="1" applyFill="1" applyBorder="1"/>
    <xf numFmtId="3" fontId="18" fillId="3" borderId="35" xfId="0" applyNumberFormat="1" applyFont="1" applyFill="1" applyBorder="1"/>
    <xf numFmtId="3" fontId="18" fillId="3" borderId="20" xfId="0" applyNumberFormat="1" applyFont="1" applyFill="1" applyBorder="1"/>
    <xf numFmtId="3" fontId="18" fillId="3" borderId="54" xfId="0" applyNumberFormat="1" applyFont="1" applyFill="1" applyBorder="1"/>
    <xf numFmtId="3" fontId="18" fillId="3" borderId="28" xfId="0" applyNumberFormat="1" applyFont="1" applyFill="1" applyBorder="1"/>
    <xf numFmtId="3" fontId="3" fillId="3" borderId="4" xfId="0" applyNumberFormat="1" applyFont="1" applyFill="1" applyBorder="1"/>
    <xf numFmtId="49" fontId="12" fillId="3" borderId="4" xfId="2" applyNumberFormat="1" applyFill="1" applyBorder="1" applyAlignment="1">
      <alignment horizontal="center" textRotation="90" wrapText="1" readingOrder="1"/>
    </xf>
    <xf numFmtId="49" fontId="12" fillId="3" borderId="41" xfId="2" applyNumberFormat="1" applyFill="1" applyBorder="1" applyAlignment="1">
      <alignment horizontal="center" textRotation="90" wrapText="1"/>
    </xf>
    <xf numFmtId="3" fontId="18" fillId="3" borderId="7" xfId="2" applyNumberFormat="1" applyFont="1" applyFill="1" applyBorder="1"/>
    <xf numFmtId="3" fontId="18" fillId="3" borderId="8" xfId="2" applyNumberFormat="1" applyFont="1" applyFill="1" applyBorder="1"/>
    <xf numFmtId="165" fontId="3" fillId="3" borderId="8" xfId="0" applyNumberFormat="1" applyFont="1" applyFill="1" applyBorder="1"/>
    <xf numFmtId="3" fontId="3" fillId="3" borderId="9" xfId="0" applyNumberFormat="1" applyFont="1" applyFill="1" applyBorder="1"/>
    <xf numFmtId="3" fontId="18" fillId="3" borderId="14" xfId="2" applyNumberFormat="1" applyFont="1" applyFill="1" applyBorder="1"/>
    <xf numFmtId="3" fontId="18" fillId="3" borderId="1" xfId="2" applyNumberFormat="1" applyFont="1" applyFill="1" applyBorder="1"/>
    <xf numFmtId="165" fontId="3" fillId="3" borderId="1" xfId="0" applyNumberFormat="1" applyFont="1" applyFill="1" applyBorder="1"/>
    <xf numFmtId="3" fontId="3" fillId="3" borderId="15" xfId="0" applyNumberFormat="1" applyFont="1" applyFill="1" applyBorder="1"/>
    <xf numFmtId="3" fontId="3" fillId="3" borderId="14" xfId="0" applyNumberFormat="1" applyFont="1" applyFill="1" applyBorder="1"/>
    <xf numFmtId="3" fontId="3" fillId="3" borderId="1" xfId="0" applyNumberFormat="1" applyFont="1" applyFill="1" applyBorder="1"/>
    <xf numFmtId="3" fontId="3" fillId="3" borderId="17" xfId="0" applyNumberFormat="1" applyFont="1" applyFill="1" applyBorder="1"/>
    <xf numFmtId="3" fontId="3" fillId="3" borderId="18" xfId="0" applyNumberFormat="1" applyFont="1" applyFill="1" applyBorder="1"/>
    <xf numFmtId="165" fontId="3" fillId="3" borderId="18" xfId="0" applyNumberFormat="1" applyFont="1" applyFill="1" applyBorder="1"/>
    <xf numFmtId="3" fontId="3" fillId="3" borderId="19" xfId="0" applyNumberFormat="1" applyFont="1" applyFill="1" applyBorder="1"/>
    <xf numFmtId="3" fontId="3" fillId="3" borderId="7" xfId="0" applyNumberFormat="1" applyFont="1" applyFill="1" applyBorder="1"/>
    <xf numFmtId="3" fontId="3" fillId="3" borderId="8" xfId="0" applyNumberFormat="1" applyFont="1" applyFill="1" applyBorder="1"/>
    <xf numFmtId="3" fontId="3" fillId="3" borderId="31" xfId="0" applyNumberFormat="1" applyFont="1" applyFill="1" applyBorder="1"/>
    <xf numFmtId="3" fontId="3" fillId="3" borderId="10" xfId="0" applyNumberFormat="1" applyFont="1" applyFill="1" applyBorder="1"/>
    <xf numFmtId="3" fontId="3" fillId="3" borderId="11" xfId="0" applyNumberFormat="1" applyFont="1" applyFill="1" applyBorder="1"/>
    <xf numFmtId="165" fontId="3" fillId="3" borderId="11" xfId="0" applyNumberFormat="1" applyFont="1" applyFill="1" applyBorder="1"/>
    <xf numFmtId="3" fontId="3" fillId="3" borderId="55" xfId="0" applyNumberFormat="1" applyFont="1" applyFill="1" applyBorder="1"/>
    <xf numFmtId="3" fontId="3" fillId="3" borderId="20" xfId="0" applyNumberFormat="1" applyFont="1" applyFill="1" applyBorder="1"/>
    <xf numFmtId="3" fontId="3" fillId="3" borderId="54" xfId="0" applyNumberFormat="1" applyFont="1" applyFill="1" applyBorder="1"/>
    <xf numFmtId="165" fontId="3" fillId="3" borderId="54" xfId="0" applyNumberFormat="1" applyFont="1" applyFill="1" applyBorder="1"/>
    <xf numFmtId="0" fontId="3" fillId="3" borderId="54" xfId="0" applyFont="1" applyFill="1" applyBorder="1"/>
    <xf numFmtId="3" fontId="3" fillId="3" borderId="51" xfId="0" applyNumberFormat="1" applyFont="1" applyFill="1" applyBorder="1"/>
    <xf numFmtId="0" fontId="6" fillId="13" borderId="6" xfId="0" applyFont="1" applyFill="1" applyBorder="1" applyAlignment="1">
      <alignment horizontal="right"/>
    </xf>
    <xf numFmtId="0" fontId="3" fillId="13" borderId="7" xfId="0" applyFont="1" applyFill="1" applyBorder="1"/>
    <xf numFmtId="3" fontId="3" fillId="0" borderId="9" xfId="0" applyNumberFormat="1" applyFont="1" applyBorder="1"/>
    <xf numFmtId="0" fontId="3" fillId="13" borderId="14" xfId="0" applyFont="1" applyFill="1" applyBorder="1"/>
    <xf numFmtId="3" fontId="3" fillId="0" borderId="15" xfId="0" applyNumberFormat="1" applyFont="1" applyBorder="1"/>
    <xf numFmtId="0" fontId="3" fillId="13" borderId="39" xfId="0" applyFont="1" applyFill="1" applyBorder="1"/>
    <xf numFmtId="3" fontId="3" fillId="0" borderId="55" xfId="0" applyNumberFormat="1" applyFont="1" applyBorder="1"/>
    <xf numFmtId="3" fontId="3" fillId="0" borderId="22" xfId="0" applyNumberFormat="1" applyFont="1" applyBorder="1"/>
    <xf numFmtId="0" fontId="14" fillId="0" borderId="0" xfId="0" applyFont="1"/>
    <xf numFmtId="3" fontId="3" fillId="0" borderId="0" xfId="0" applyNumberFormat="1" applyFont="1"/>
    <xf numFmtId="0" fontId="19" fillId="0" borderId="2" xfId="0" applyFont="1" applyBorder="1" applyAlignment="1">
      <alignment wrapText="1"/>
    </xf>
    <xf numFmtId="0" fontId="3" fillId="13" borderId="17" xfId="0" applyFont="1" applyFill="1" applyBorder="1"/>
    <xf numFmtId="3" fontId="3" fillId="0" borderId="19" xfId="0" applyNumberFormat="1" applyFont="1" applyBorder="1"/>
    <xf numFmtId="0" fontId="6" fillId="13" borderId="1" xfId="0" applyFont="1" applyFill="1" applyBorder="1"/>
    <xf numFmtId="0" fontId="6" fillId="13" borderId="15" xfId="0" applyFont="1" applyFill="1" applyBorder="1"/>
    <xf numFmtId="0" fontId="3" fillId="13" borderId="14" xfId="0" applyFont="1" applyFill="1" applyBorder="1" applyAlignment="1">
      <alignment wrapText="1"/>
    </xf>
    <xf numFmtId="0" fontId="3" fillId="13" borderId="17" xfId="0" applyFont="1" applyFill="1" applyBorder="1" applyAlignment="1">
      <alignment wrapText="1"/>
    </xf>
    <xf numFmtId="0" fontId="28" fillId="13" borderId="1" xfId="0" applyFont="1" applyFill="1" applyBorder="1" applyAlignment="1">
      <alignment wrapText="1"/>
    </xf>
    <xf numFmtId="0" fontId="6" fillId="13" borderId="18" xfId="0" applyFont="1" applyFill="1" applyBorder="1" applyAlignment="1">
      <alignment horizontal="center" vertical="center"/>
    </xf>
    <xf numFmtId="0" fontId="6" fillId="13" borderId="19" xfId="0" applyFont="1" applyFill="1" applyBorder="1" applyAlignment="1">
      <alignment horizontal="right" wrapText="1"/>
    </xf>
    <xf numFmtId="0" fontId="3" fillId="0" borderId="11" xfId="0" applyFont="1" applyBorder="1" applyAlignment="1">
      <alignment horizontal="right" vertical="center" wrapText="1"/>
    </xf>
    <xf numFmtId="3" fontId="3" fillId="0" borderId="13" xfId="0" applyNumberFormat="1" applyFont="1" applyBorder="1" applyAlignment="1">
      <alignment horizontal="right" vertical="center" wrapText="1"/>
    </xf>
    <xf numFmtId="0" fontId="3" fillId="13" borderId="14" xfId="0" applyFont="1" applyFill="1" applyBorder="1" applyAlignment="1">
      <alignment horizontal="left" wrapText="1"/>
    </xf>
    <xf numFmtId="0" fontId="3" fillId="0" borderId="1" xfId="0" applyFont="1" applyBorder="1" applyAlignment="1">
      <alignment horizontal="right"/>
    </xf>
    <xf numFmtId="3" fontId="3" fillId="0" borderId="51" xfId="0" applyNumberFormat="1" applyFont="1" applyBorder="1" applyAlignment="1">
      <alignment horizontal="right" vertical="center" wrapText="1"/>
    </xf>
    <xf numFmtId="0" fontId="28" fillId="13" borderId="18" xfId="0" applyFont="1" applyFill="1" applyBorder="1" applyAlignment="1">
      <alignment horizontal="right" wrapText="1"/>
    </xf>
    <xf numFmtId="0" fontId="6" fillId="13" borderId="31" xfId="0" applyFont="1" applyFill="1" applyBorder="1"/>
    <xf numFmtId="0" fontId="3" fillId="13" borderId="7" xfId="0" applyFont="1" applyFill="1" applyBorder="1" applyAlignment="1">
      <alignment wrapText="1"/>
    </xf>
    <xf numFmtId="0" fontId="3" fillId="0" borderId="1" xfId="0" applyFont="1" applyBorder="1"/>
    <xf numFmtId="0" fontId="6" fillId="13" borderId="31" xfId="0" applyFont="1" applyFill="1" applyBorder="1" applyAlignment="1">
      <alignment horizontal="right"/>
    </xf>
    <xf numFmtId="0" fontId="6" fillId="0" borderId="7" xfId="0" applyFont="1" applyBorder="1" applyAlignment="1">
      <alignment wrapText="1"/>
    </xf>
    <xf numFmtId="0" fontId="6" fillId="13" borderId="8" xfId="0" applyFont="1" applyFill="1" applyBorder="1" applyAlignment="1">
      <alignment horizontal="center" vertical="center" wrapText="1"/>
    </xf>
    <xf numFmtId="0" fontId="6" fillId="13" borderId="9" xfId="0" applyFont="1" applyFill="1" applyBorder="1" applyAlignment="1">
      <alignment horizontal="center" vertical="center" wrapText="1"/>
    </xf>
    <xf numFmtId="0" fontId="6" fillId="13" borderId="8" xfId="0" applyFont="1" applyFill="1" applyBorder="1" applyAlignment="1">
      <alignment horizontal="center" vertical="center"/>
    </xf>
    <xf numFmtId="0" fontId="3" fillId="0" borderId="18" xfId="0" applyFont="1" applyBorder="1"/>
    <xf numFmtId="0" fontId="3" fillId="0" borderId="4" xfId="0" applyFont="1" applyBorder="1"/>
    <xf numFmtId="0" fontId="3" fillId="3" borderId="0" xfId="0" applyFont="1" applyFill="1" applyAlignment="1">
      <alignment horizontal="center" vertical="center"/>
    </xf>
    <xf numFmtId="4" fontId="3" fillId="3" borderId="0" xfId="0" applyNumberFormat="1" applyFont="1" applyFill="1"/>
    <xf numFmtId="3" fontId="3" fillId="3" borderId="0" xfId="0" applyNumberFormat="1" applyFont="1" applyFill="1"/>
    <xf numFmtId="0" fontId="30" fillId="3" borderId="0" xfId="0" applyFont="1" applyFill="1" applyAlignment="1">
      <alignment horizontal="center" vertical="center"/>
    </xf>
    <xf numFmtId="0" fontId="31" fillId="3" borderId="0" xfId="0" applyFont="1" applyFill="1"/>
    <xf numFmtId="0" fontId="32" fillId="3" borderId="0" xfId="0" applyFont="1" applyFill="1" applyAlignment="1">
      <alignment horizontal="center" vertical="center"/>
    </xf>
    <xf numFmtId="1" fontId="12" fillId="3" borderId="0" xfId="2" applyNumberFormat="1" applyFill="1" applyAlignment="1">
      <alignment horizontal="right"/>
    </xf>
    <xf numFmtId="0" fontId="15" fillId="3" borderId="0" xfId="0" applyFont="1" applyFill="1"/>
    <xf numFmtId="0" fontId="33" fillId="3" borderId="0" xfId="0" applyFont="1" applyFill="1" applyAlignment="1">
      <alignment vertical="center"/>
    </xf>
    <xf numFmtId="0" fontId="3" fillId="3" borderId="2" xfId="0" applyFont="1" applyFill="1" applyBorder="1" applyAlignment="1">
      <alignment horizontal="center" textRotation="90"/>
    </xf>
    <xf numFmtId="0" fontId="3" fillId="3" borderId="58" xfId="0" applyFont="1" applyFill="1" applyBorder="1" applyAlignment="1">
      <alignment horizontal="center" textRotation="90"/>
    </xf>
    <xf numFmtId="0" fontId="18" fillId="3" borderId="58" xfId="5" applyFont="1" applyFill="1" applyBorder="1" applyAlignment="1" applyProtection="1">
      <alignment horizontal="center" textRotation="90"/>
      <protection locked="0"/>
    </xf>
    <xf numFmtId="0" fontId="18" fillId="3" borderId="58" xfId="0" applyFont="1" applyFill="1" applyBorder="1" applyAlignment="1">
      <alignment horizontal="center" textRotation="90"/>
    </xf>
    <xf numFmtId="0" fontId="3" fillId="3" borderId="8" xfId="0" applyFont="1" applyFill="1" applyBorder="1" applyAlignment="1">
      <alignment horizontal="center" textRotation="90"/>
    </xf>
    <xf numFmtId="0" fontId="3" fillId="3" borderId="24" xfId="0" applyFont="1" applyFill="1" applyBorder="1" applyAlignment="1">
      <alignment horizontal="center" textRotation="90"/>
    </xf>
    <xf numFmtId="0" fontId="3" fillId="0" borderId="58" xfId="0" applyFont="1" applyBorder="1"/>
    <xf numFmtId="49" fontId="12" fillId="3" borderId="59" xfId="2" applyNumberFormat="1" applyFill="1" applyBorder="1" applyAlignment="1">
      <alignment horizontal="center" textRotation="90" wrapText="1"/>
    </xf>
    <xf numFmtId="4" fontId="12" fillId="3" borderId="58" xfId="2" applyNumberFormat="1" applyFill="1" applyBorder="1" applyAlignment="1">
      <alignment horizontal="center" textRotation="90" wrapText="1"/>
    </xf>
    <xf numFmtId="3" fontId="12" fillId="3" borderId="25" xfId="2" applyNumberFormat="1" applyFill="1" applyBorder="1" applyAlignment="1">
      <alignment horizontal="center" textRotation="90" wrapText="1"/>
    </xf>
    <xf numFmtId="3" fontId="3" fillId="3" borderId="60" xfId="0" applyNumberFormat="1" applyFont="1" applyFill="1" applyBorder="1"/>
    <xf numFmtId="0" fontId="3" fillId="3" borderId="14" xfId="0" applyFont="1" applyFill="1" applyBorder="1"/>
    <xf numFmtId="0" fontId="3" fillId="3" borderId="1" xfId="0" applyFont="1" applyFill="1" applyBorder="1"/>
    <xf numFmtId="3" fontId="3" fillId="3" borderId="39" xfId="0" applyNumberFormat="1" applyFont="1" applyFill="1" applyBorder="1"/>
    <xf numFmtId="3" fontId="3" fillId="3" borderId="30" xfId="0" applyNumberFormat="1" applyFont="1" applyFill="1" applyBorder="1"/>
    <xf numFmtId="3" fontId="33" fillId="3" borderId="4" xfId="0" applyNumberFormat="1" applyFont="1" applyFill="1" applyBorder="1"/>
    <xf numFmtId="3" fontId="33" fillId="3" borderId="33" xfId="0" applyNumberFormat="1" applyFont="1" applyFill="1" applyBorder="1"/>
    <xf numFmtId="3" fontId="6" fillId="0" borderId="33" xfId="0" applyNumberFormat="1" applyFont="1" applyBorder="1"/>
    <xf numFmtId="3" fontId="6" fillId="3" borderId="33" xfId="0" applyNumberFormat="1" applyFont="1" applyFill="1" applyBorder="1"/>
    <xf numFmtId="3" fontId="6" fillId="3" borderId="6" xfId="0" applyNumberFormat="1" applyFont="1" applyFill="1" applyBorder="1"/>
    <xf numFmtId="0" fontId="14" fillId="3" borderId="0" xfId="0" applyFont="1" applyFill="1"/>
    <xf numFmtId="0" fontId="3" fillId="3" borderId="0" xfId="0" applyFont="1" applyFill="1" applyBorder="1"/>
    <xf numFmtId="1" fontId="12" fillId="3" borderId="0" xfId="2" applyNumberFormat="1" applyFill="1" applyBorder="1" applyAlignment="1">
      <alignment horizontal="right"/>
    </xf>
    <xf numFmtId="166" fontId="3" fillId="3" borderId="61" xfId="0" applyNumberFormat="1" applyFont="1" applyFill="1" applyBorder="1"/>
    <xf numFmtId="0" fontId="0" fillId="3" borderId="62" xfId="0" applyFill="1" applyBorder="1" applyAlignment="1">
      <alignment horizontal="left"/>
    </xf>
    <xf numFmtId="0" fontId="0" fillId="3" borderId="0" xfId="0" applyFill="1" applyAlignment="1">
      <alignment horizontal="left"/>
    </xf>
    <xf numFmtId="166" fontId="3" fillId="3" borderId="45" xfId="0" applyNumberFormat="1" applyFont="1" applyFill="1" applyBorder="1"/>
    <xf numFmtId="0" fontId="0" fillId="3" borderId="27" xfId="0" applyFill="1" applyBorder="1" applyAlignment="1">
      <alignment horizontal="left"/>
    </xf>
    <xf numFmtId="0" fontId="0" fillId="3" borderId="28" xfId="0" applyFill="1" applyBorder="1" applyAlignment="1">
      <alignment horizontal="left"/>
    </xf>
    <xf numFmtId="0" fontId="3" fillId="3" borderId="48" xfId="0" applyFont="1" applyFill="1" applyBorder="1"/>
    <xf numFmtId="0" fontId="19" fillId="13" borderId="9" xfId="0" applyFont="1" applyFill="1" applyBorder="1" applyAlignment="1">
      <alignment horizontal="center" vertical="center" wrapText="1"/>
    </xf>
    <xf numFmtId="0" fontId="37" fillId="3" borderId="0" xfId="0" applyFont="1" applyFill="1" applyAlignment="1">
      <alignment vertical="center"/>
    </xf>
    <xf numFmtId="3" fontId="3" fillId="0" borderId="14" xfId="0" applyNumberFormat="1" applyFont="1" applyBorder="1"/>
    <xf numFmtId="3" fontId="12" fillId="9" borderId="32" xfId="2" applyNumberFormat="1" applyFill="1" applyBorder="1" applyAlignment="1">
      <alignment horizontal="left" indent="1"/>
    </xf>
    <xf numFmtId="3" fontId="38" fillId="0" borderId="1" xfId="0" applyNumberFormat="1" applyFont="1" applyBorder="1"/>
    <xf numFmtId="3" fontId="18" fillId="0" borderId="14" xfId="0" applyNumberFormat="1" applyFont="1" applyBorder="1"/>
    <xf numFmtId="3" fontId="18" fillId="0" borderId="1" xfId="0" applyNumberFormat="1" applyFont="1" applyBorder="1"/>
    <xf numFmtId="3" fontId="18" fillId="0" borderId="39" xfId="0" applyNumberFormat="1" applyFont="1" applyBorder="1"/>
    <xf numFmtId="3" fontId="18" fillId="0" borderId="30" xfId="0" applyNumberFormat="1" applyFont="1" applyBorder="1"/>
    <xf numFmtId="3" fontId="38" fillId="0" borderId="30" xfId="0" applyNumberFormat="1" applyFont="1" applyBorder="1"/>
    <xf numFmtId="3" fontId="12" fillId="9" borderId="53" xfId="2" applyNumberFormat="1" applyFill="1" applyBorder="1" applyAlignment="1">
      <alignment horizontal="left" indent="1"/>
    </xf>
    <xf numFmtId="3" fontId="3" fillId="0" borderId="7" xfId="0" applyNumberFormat="1" applyFont="1" applyBorder="1"/>
    <xf numFmtId="3" fontId="3" fillId="0" borderId="8" xfId="0" applyNumberFormat="1" applyFont="1" applyBorder="1"/>
    <xf numFmtId="3" fontId="12" fillId="9" borderId="49" xfId="2" applyNumberFormat="1" applyFill="1" applyBorder="1" applyAlignment="1">
      <alignment horizontal="left" indent="1"/>
    </xf>
    <xf numFmtId="0" fontId="3" fillId="3" borderId="0" xfId="0" applyFont="1" applyFill="1" applyAlignment="1">
      <alignment vertical="center"/>
    </xf>
    <xf numFmtId="3" fontId="3" fillId="0" borderId="30" xfId="0" applyNumberFormat="1" applyFont="1" applyBorder="1"/>
    <xf numFmtId="0" fontId="33" fillId="3" borderId="4" xfId="0" applyFont="1" applyFill="1" applyBorder="1"/>
    <xf numFmtId="0" fontId="33" fillId="3" borderId="33" xfId="0" applyFont="1" applyFill="1" applyBorder="1"/>
    <xf numFmtId="0" fontId="6" fillId="0" borderId="33" xfId="0" applyFont="1" applyBorder="1"/>
    <xf numFmtId="1" fontId="18" fillId="3" borderId="0" xfId="2" applyNumberFormat="1" applyFont="1" applyFill="1" applyBorder="1"/>
    <xf numFmtId="1" fontId="18" fillId="3" borderId="0" xfId="2" applyNumberFormat="1" applyFont="1" applyFill="1" applyBorder="1" applyAlignment="1">
      <alignment wrapText="1"/>
    </xf>
    <xf numFmtId="1" fontId="18" fillId="3" borderId="0" xfId="2" applyNumberFormat="1" applyFont="1" applyFill="1" applyBorder="1" applyAlignment="1">
      <alignment horizontal="left"/>
    </xf>
    <xf numFmtId="0" fontId="2" fillId="5" borderId="31" xfId="0" applyFont="1" applyFill="1" applyBorder="1"/>
    <xf numFmtId="0" fontId="0" fillId="5" borderId="7" xfId="0" applyFill="1" applyBorder="1" applyAlignment="1">
      <alignment horizontal="left"/>
    </xf>
    <xf numFmtId="3" fontId="0" fillId="0" borderId="9" xfId="0" applyNumberFormat="1" applyBorder="1"/>
    <xf numFmtId="49" fontId="12" fillId="5" borderId="14" xfId="2" applyNumberFormat="1" applyFill="1" applyBorder="1" applyAlignment="1">
      <alignment horizontal="left"/>
    </xf>
    <xf numFmtId="3" fontId="0" fillId="0" borderId="15" xfId="0" applyNumberFormat="1" applyBorder="1"/>
    <xf numFmtId="1" fontId="0" fillId="0" borderId="15" xfId="0" applyNumberFormat="1" applyBorder="1"/>
    <xf numFmtId="49" fontId="12" fillId="5" borderId="39" xfId="2" applyNumberFormat="1" applyFill="1" applyBorder="1" applyAlignment="1">
      <alignment horizontal="left"/>
    </xf>
    <xf numFmtId="3" fontId="0" fillId="0" borderId="55" xfId="0" applyNumberFormat="1" applyBorder="1"/>
    <xf numFmtId="49" fontId="12" fillId="5" borderId="4" xfId="2" applyNumberFormat="1" applyFill="1" applyBorder="1" applyAlignment="1">
      <alignment horizontal="left"/>
    </xf>
    <xf numFmtId="3" fontId="0" fillId="0" borderId="22" xfId="0" applyNumberFormat="1" applyBorder="1"/>
    <xf numFmtId="0" fontId="0" fillId="0" borderId="30" xfId="0" applyBorder="1"/>
    <xf numFmtId="0" fontId="0" fillId="0" borderId="65" xfId="0" applyBorder="1"/>
    <xf numFmtId="0" fontId="3" fillId="0" borderId="55" xfId="0" applyFont="1" applyBorder="1"/>
    <xf numFmtId="0" fontId="0" fillId="5" borderId="66" xfId="0" applyFill="1" applyBorder="1" applyAlignment="1">
      <alignment horizontal="left"/>
    </xf>
    <xf numFmtId="3" fontId="0" fillId="0" borderId="8" xfId="0" applyNumberFormat="1" applyBorder="1"/>
    <xf numFmtId="49" fontId="12" fillId="5" borderId="37" xfId="2" applyNumberFormat="1" applyFill="1" applyBorder="1" applyAlignment="1">
      <alignment horizontal="left"/>
    </xf>
    <xf numFmtId="3" fontId="0" fillId="0" borderId="1" xfId="0" applyNumberFormat="1" applyBorder="1"/>
    <xf numFmtId="49" fontId="12" fillId="5" borderId="56" xfId="2" applyNumberFormat="1" applyFill="1" applyBorder="1" applyAlignment="1">
      <alignment horizontal="left"/>
    </xf>
    <xf numFmtId="3" fontId="0" fillId="0" borderId="18" xfId="0" applyNumberFormat="1" applyBorder="1"/>
    <xf numFmtId="49" fontId="12" fillId="5" borderId="27" xfId="2" applyNumberFormat="1" applyFill="1" applyBorder="1" applyAlignment="1">
      <alignment horizontal="left"/>
    </xf>
    <xf numFmtId="3" fontId="0" fillId="0" borderId="54" xfId="0" applyNumberFormat="1" applyBorder="1"/>
    <xf numFmtId="3" fontId="0" fillId="0" borderId="67" xfId="0" applyNumberFormat="1" applyBorder="1"/>
    <xf numFmtId="3" fontId="3" fillId="0" borderId="51" xfId="0" applyNumberFormat="1" applyFont="1" applyBorder="1"/>
    <xf numFmtId="49" fontId="16" fillId="0" borderId="5" xfId="2" applyNumberFormat="1" applyFont="1" applyBorder="1" applyAlignment="1">
      <alignment horizontal="center" vertical="center" wrapText="1"/>
    </xf>
    <xf numFmtId="3" fontId="38" fillId="3" borderId="7" xfId="2" applyNumberFormat="1" applyFont="1" applyFill="1" applyBorder="1" applyAlignment="1">
      <alignment horizontal="center" vertical="center"/>
    </xf>
    <xf numFmtId="3" fontId="38" fillId="3" borderId="8" xfId="2" applyNumberFormat="1" applyFont="1" applyFill="1" applyBorder="1" applyAlignment="1">
      <alignment horizontal="center" vertical="center"/>
    </xf>
    <xf numFmtId="3" fontId="38" fillId="3" borderId="69" xfId="2" applyNumberFormat="1" applyFont="1" applyFill="1" applyBorder="1" applyAlignment="1">
      <alignment horizontal="center" vertical="center"/>
    </xf>
    <xf numFmtId="3" fontId="18" fillId="3" borderId="68" xfId="2" applyNumberFormat="1" applyFont="1" applyFill="1" applyBorder="1"/>
    <xf numFmtId="3" fontId="38" fillId="3" borderId="8" xfId="0" applyNumberFormat="1" applyFont="1" applyFill="1" applyBorder="1"/>
    <xf numFmtId="3" fontId="18" fillId="3" borderId="60" xfId="2" applyNumberFormat="1" applyFont="1" applyFill="1" applyBorder="1"/>
    <xf numFmtId="3" fontId="3" fillId="3" borderId="16" xfId="0" applyNumberFormat="1" applyFont="1" applyFill="1" applyBorder="1"/>
    <xf numFmtId="3" fontId="3" fillId="3" borderId="65" xfId="0" applyNumberFormat="1" applyFont="1" applyFill="1" applyBorder="1"/>
    <xf numFmtId="3" fontId="3" fillId="3" borderId="70" xfId="0" applyNumberFormat="1" applyFont="1" applyFill="1" applyBorder="1"/>
    <xf numFmtId="3" fontId="3" fillId="3" borderId="64" xfId="0" applyNumberFormat="1" applyFont="1" applyFill="1" applyBorder="1"/>
    <xf numFmtId="3" fontId="3" fillId="3" borderId="71" xfId="0" applyNumberFormat="1" applyFont="1" applyFill="1" applyBorder="1"/>
    <xf numFmtId="3" fontId="3" fillId="3" borderId="72" xfId="0" applyNumberFormat="1" applyFont="1" applyFill="1" applyBorder="1"/>
    <xf numFmtId="3" fontId="3" fillId="3" borderId="52" xfId="0" applyNumberFormat="1" applyFont="1" applyFill="1" applyBorder="1"/>
    <xf numFmtId="3" fontId="3" fillId="3" borderId="69" xfId="0" applyNumberFormat="1" applyFont="1" applyFill="1" applyBorder="1"/>
    <xf numFmtId="3" fontId="3" fillId="3" borderId="68" xfId="0" applyNumberFormat="1" applyFont="1" applyFill="1" applyBorder="1"/>
    <xf numFmtId="3" fontId="3" fillId="3" borderId="21" xfId="0" applyNumberFormat="1" applyFont="1" applyFill="1" applyBorder="1"/>
    <xf numFmtId="3" fontId="12" fillId="9" borderId="73" xfId="2" applyNumberFormat="1" applyFill="1" applyBorder="1" applyAlignment="1">
      <alignment horizontal="left" indent="1"/>
    </xf>
    <xf numFmtId="3" fontId="3" fillId="3" borderId="57" xfId="0" applyNumberFormat="1" applyFont="1" applyFill="1" applyBorder="1"/>
    <xf numFmtId="3" fontId="12" fillId="9" borderId="41" xfId="2" applyNumberFormat="1" applyFill="1" applyBorder="1" applyAlignment="1">
      <alignment horizontal="left" indent="1"/>
    </xf>
    <xf numFmtId="3" fontId="3" fillId="14" borderId="8" xfId="0" applyNumberFormat="1" applyFont="1" applyFill="1" applyBorder="1"/>
    <xf numFmtId="3" fontId="3" fillId="14" borderId="18" xfId="0" applyNumberFormat="1" applyFont="1" applyFill="1" applyBorder="1"/>
    <xf numFmtId="3" fontId="6" fillId="3" borderId="41" xfId="4" applyNumberFormat="1" applyFont="1" applyFill="1" applyBorder="1" applyAlignment="1">
      <alignment horizontal="left" indent="2"/>
    </xf>
    <xf numFmtId="1" fontId="12" fillId="3" borderId="23" xfId="2" applyNumberFormat="1" applyFill="1" applyBorder="1"/>
    <xf numFmtId="1" fontId="12" fillId="3" borderId="24" xfId="2" applyNumberFormat="1" applyFill="1" applyBorder="1"/>
    <xf numFmtId="0" fontId="12" fillId="3" borderId="0" xfId="2" applyFill="1"/>
    <xf numFmtId="1" fontId="41" fillId="3" borderId="0" xfId="2" applyNumberFormat="1" applyFont="1" applyFill="1" applyAlignment="1">
      <alignment vertical="center"/>
    </xf>
    <xf numFmtId="1" fontId="12" fillId="3" borderId="62" xfId="2" applyNumberFormat="1" applyFill="1" applyBorder="1"/>
    <xf numFmtId="1" fontId="12" fillId="0" borderId="0" xfId="3" applyNumberFormat="1" applyFont="1" applyFill="1" applyAlignment="1">
      <alignment horizontal="right"/>
    </xf>
    <xf numFmtId="1" fontId="12" fillId="3" borderId="26" xfId="2" applyNumberFormat="1" applyFill="1" applyBorder="1"/>
    <xf numFmtId="1" fontId="12" fillId="3" borderId="27" xfId="2" applyNumberFormat="1" applyFill="1" applyBorder="1"/>
    <xf numFmtId="1" fontId="12" fillId="3" borderId="28" xfId="2" applyNumberFormat="1" applyFill="1" applyBorder="1"/>
    <xf numFmtId="1" fontId="12" fillId="3" borderId="29" xfId="2" applyNumberFormat="1" applyFill="1" applyBorder="1"/>
    <xf numFmtId="1" fontId="44" fillId="3" borderId="35" xfId="2" applyNumberFormat="1" applyFont="1" applyFill="1" applyBorder="1" applyAlignment="1">
      <alignment horizontal="center"/>
    </xf>
    <xf numFmtId="1" fontId="44" fillId="3" borderId="35" xfId="2" applyNumberFormat="1" applyFont="1" applyFill="1" applyBorder="1"/>
    <xf numFmtId="3" fontId="12" fillId="3" borderId="14" xfId="2" applyNumberFormat="1" applyFill="1" applyBorder="1"/>
    <xf numFmtId="3" fontId="12" fillId="3" borderId="1" xfId="2" applyNumberFormat="1" applyFill="1" applyBorder="1"/>
    <xf numFmtId="3" fontId="12" fillId="0" borderId="1" xfId="3" applyNumberFormat="1" applyFont="1" applyFill="1" applyBorder="1"/>
    <xf numFmtId="3" fontId="12" fillId="0" borderId="1" xfId="0" applyNumberFormat="1" applyFont="1" applyBorder="1"/>
    <xf numFmtId="3" fontId="12" fillId="3" borderId="13" xfId="2" applyNumberFormat="1" applyFill="1" applyBorder="1"/>
    <xf numFmtId="3" fontId="12" fillId="3" borderId="15" xfId="2" applyNumberFormat="1" applyFill="1" applyBorder="1"/>
    <xf numFmtId="3" fontId="13" fillId="3" borderId="44" xfId="2" applyNumberFormat="1" applyFont="1" applyFill="1" applyBorder="1"/>
    <xf numFmtId="3" fontId="12" fillId="3" borderId="60" xfId="2" applyNumberFormat="1" applyFill="1" applyBorder="1"/>
    <xf numFmtId="3" fontId="12" fillId="3" borderId="39" xfId="2" applyNumberFormat="1" applyFill="1" applyBorder="1"/>
    <xf numFmtId="3" fontId="12" fillId="3" borderId="30" xfId="2" applyNumberFormat="1" applyFill="1" applyBorder="1"/>
    <xf numFmtId="3" fontId="12" fillId="0" borderId="30" xfId="2" applyNumberFormat="1" applyBorder="1"/>
    <xf numFmtId="3" fontId="12" fillId="0" borderId="1" xfId="3" applyNumberFormat="1" applyFont="1" applyFill="1" applyBorder="1" applyAlignment="1">
      <alignment horizontal="right"/>
    </xf>
    <xf numFmtId="3" fontId="12" fillId="3" borderId="55" xfId="2" applyNumberFormat="1" applyFill="1" applyBorder="1"/>
    <xf numFmtId="3" fontId="12" fillId="3" borderId="70" xfId="2" applyNumberFormat="1" applyFill="1" applyBorder="1"/>
    <xf numFmtId="3" fontId="12" fillId="3" borderId="17" xfId="2" applyNumberFormat="1" applyFill="1" applyBorder="1"/>
    <xf numFmtId="3" fontId="12" fillId="3" borderId="18" xfId="2" applyNumberFormat="1" applyFill="1" applyBorder="1"/>
    <xf numFmtId="3" fontId="12" fillId="3" borderId="19" xfId="2" applyNumberFormat="1" applyFill="1" applyBorder="1"/>
    <xf numFmtId="3" fontId="13" fillId="3" borderId="73" xfId="2" applyNumberFormat="1" applyFont="1" applyFill="1" applyBorder="1"/>
    <xf numFmtId="3" fontId="13" fillId="3" borderId="41" xfId="2" applyNumberFormat="1" applyFont="1" applyFill="1" applyBorder="1"/>
    <xf numFmtId="3" fontId="0" fillId="0" borderId="41" xfId="0" applyNumberFormat="1" applyBorder="1"/>
    <xf numFmtId="3" fontId="2" fillId="0" borderId="3" xfId="0" applyNumberFormat="1" applyFont="1" applyBorder="1"/>
    <xf numFmtId="3" fontId="0" fillId="0" borderId="4" xfId="0" applyNumberFormat="1" applyFont="1" applyBorder="1"/>
    <xf numFmtId="3" fontId="0" fillId="0" borderId="33" xfId="0" applyNumberFormat="1" applyFont="1" applyBorder="1"/>
    <xf numFmtId="3" fontId="0" fillId="0" borderId="6" xfId="0" applyNumberFormat="1" applyFont="1" applyBorder="1"/>
    <xf numFmtId="3" fontId="13" fillId="3" borderId="22" xfId="2" applyNumberFormat="1" applyFont="1" applyFill="1" applyBorder="1"/>
    <xf numFmtId="3" fontId="12" fillId="0" borderId="30" xfId="3" applyNumberFormat="1" applyFont="1" applyFill="1" applyBorder="1" applyAlignment="1">
      <alignment horizontal="right"/>
    </xf>
    <xf numFmtId="3" fontId="0" fillId="0" borderId="33" xfId="0" applyNumberFormat="1" applyBorder="1"/>
    <xf numFmtId="3" fontId="12" fillId="3" borderId="10" xfId="2" applyNumberFormat="1" applyFill="1" applyBorder="1"/>
    <xf numFmtId="3" fontId="12" fillId="3" borderId="11" xfId="2" applyNumberFormat="1" applyFill="1" applyBorder="1"/>
    <xf numFmtId="1" fontId="12" fillId="0" borderId="33" xfId="2" applyNumberFormat="1" applyBorder="1" applyAlignment="1">
      <alignment vertical="center"/>
    </xf>
    <xf numFmtId="1" fontId="12" fillId="3" borderId="33" xfId="2" applyNumberFormat="1" applyFill="1" applyBorder="1" applyAlignment="1">
      <alignment vertical="center"/>
    </xf>
    <xf numFmtId="1" fontId="12" fillId="3" borderId="3" xfId="2" applyNumberFormat="1" applyFill="1" applyBorder="1" applyAlignment="1">
      <alignment horizontal="left" vertical="center"/>
    </xf>
    <xf numFmtId="1" fontId="12" fillId="3" borderId="22" xfId="2" applyNumberFormat="1" applyFill="1" applyBorder="1" applyAlignment="1">
      <alignment horizontal="left" vertical="center"/>
    </xf>
    <xf numFmtId="1" fontId="12" fillId="3" borderId="0" xfId="2" applyNumberFormat="1" applyFill="1" applyAlignment="1">
      <alignment vertical="center"/>
    </xf>
    <xf numFmtId="3" fontId="13" fillId="3" borderId="20" xfId="2" applyNumberFormat="1" applyFont="1" applyFill="1" applyBorder="1"/>
    <xf numFmtId="3" fontId="13" fillId="3" borderId="54" xfId="2" applyNumberFormat="1" applyFont="1" applyFill="1" applyBorder="1"/>
    <xf numFmtId="3" fontId="13" fillId="3" borderId="51" xfId="2" applyNumberFormat="1" applyFont="1" applyFill="1" applyBorder="1"/>
    <xf numFmtId="3" fontId="0" fillId="0" borderId="45" xfId="0" applyNumberFormat="1" applyBorder="1"/>
    <xf numFmtId="3" fontId="0" fillId="0" borderId="48" xfId="0" applyNumberFormat="1" applyBorder="1"/>
    <xf numFmtId="1" fontId="0" fillId="0" borderId="41" xfId="0" applyNumberFormat="1" applyBorder="1"/>
    <xf numFmtId="1" fontId="0" fillId="0" borderId="45" xfId="0" applyNumberFormat="1" applyBorder="1"/>
    <xf numFmtId="1" fontId="0" fillId="0" borderId="48" xfId="0" applyNumberFormat="1" applyBorder="1"/>
    <xf numFmtId="0" fontId="0" fillId="0" borderId="3" xfId="0" applyBorder="1"/>
    <xf numFmtId="3" fontId="12" fillId="3" borderId="24" xfId="3" applyNumberFormat="1" applyFont="1" applyFill="1" applyBorder="1" applyAlignment="1" applyProtection="1">
      <alignment horizontal="left"/>
      <protection locked="0"/>
    </xf>
    <xf numFmtId="3" fontId="12" fillId="3" borderId="25" xfId="3" applyNumberFormat="1" applyFont="1" applyFill="1" applyBorder="1" applyAlignment="1" applyProtection="1">
      <alignment horizontal="left"/>
      <protection locked="0"/>
    </xf>
    <xf numFmtId="1" fontId="42" fillId="3" borderId="0" xfId="2" applyNumberFormat="1" applyFont="1" applyFill="1" applyAlignment="1">
      <alignment horizontal="center"/>
    </xf>
    <xf numFmtId="1" fontId="43" fillId="3" borderId="0" xfId="0" applyNumberFormat="1" applyFont="1" applyFill="1" applyAlignment="1">
      <alignment horizontal="center" vertical="top"/>
    </xf>
    <xf numFmtId="167" fontId="12" fillId="3" borderId="5" xfId="2" applyNumberFormat="1" applyFill="1" applyBorder="1"/>
    <xf numFmtId="3" fontId="12" fillId="3" borderId="5" xfId="2" applyNumberFormat="1" applyFill="1" applyBorder="1"/>
    <xf numFmtId="3" fontId="12" fillId="3" borderId="22" xfId="2" applyNumberFormat="1" applyFill="1" applyBorder="1"/>
    <xf numFmtId="49" fontId="12" fillId="3" borderId="71" xfId="2" applyNumberFormat="1" applyFill="1" applyBorder="1" applyAlignment="1">
      <alignment horizontal="center" textRotation="90" wrapText="1"/>
    </xf>
    <xf numFmtId="49" fontId="12" fillId="3" borderId="50" xfId="2" applyNumberFormat="1" applyFill="1" applyBorder="1" applyAlignment="1">
      <alignment horizontal="center" textRotation="90" wrapText="1"/>
    </xf>
    <xf numFmtId="49" fontId="45" fillId="0" borderId="45" xfId="2" applyNumberFormat="1" applyFont="1" applyBorder="1" applyAlignment="1">
      <alignment horizontal="center" wrapText="1"/>
    </xf>
    <xf numFmtId="49" fontId="12" fillId="3" borderId="64" xfId="2" applyNumberFormat="1" applyFill="1" applyBorder="1" applyAlignment="1">
      <alignment horizontal="center" textRotation="90" wrapText="1" readingOrder="1"/>
    </xf>
    <xf numFmtId="49" fontId="13" fillId="3" borderId="45" xfId="2" applyNumberFormat="1" applyFont="1" applyFill="1" applyBorder="1" applyAlignment="1">
      <alignment horizontal="center" textRotation="90" wrapText="1"/>
    </xf>
    <xf numFmtId="49" fontId="12" fillId="3" borderId="52" xfId="2" applyNumberFormat="1" applyFill="1" applyBorder="1" applyAlignment="1">
      <alignment horizontal="center" textRotation="90" wrapText="1"/>
    </xf>
    <xf numFmtId="49" fontId="12" fillId="3" borderId="72" xfId="2" applyNumberFormat="1" applyFill="1" applyBorder="1" applyAlignment="1">
      <alignment horizontal="center" textRotation="90" wrapText="1"/>
    </xf>
    <xf numFmtId="3" fontId="12" fillId="0" borderId="11" xfId="3" applyNumberFormat="1" applyFont="1" applyFill="1" applyBorder="1"/>
    <xf numFmtId="3" fontId="12" fillId="0" borderId="11" xfId="0" applyNumberFormat="1" applyFont="1" applyBorder="1"/>
    <xf numFmtId="3" fontId="13" fillId="3" borderId="47" xfId="2" applyNumberFormat="1" applyFont="1" applyFill="1" applyBorder="1"/>
    <xf numFmtId="3" fontId="12" fillId="3" borderId="74" xfId="2" applyNumberFormat="1" applyFill="1" applyBorder="1"/>
    <xf numFmtId="49" fontId="12" fillId="3" borderId="1" xfId="2" applyNumberFormat="1" applyFill="1" applyBorder="1" applyAlignment="1">
      <alignment horizontal="center" textRotation="90" wrapText="1"/>
    </xf>
    <xf numFmtId="49" fontId="12" fillId="3" borderId="1" xfId="2" applyNumberFormat="1" applyFill="1" applyBorder="1" applyAlignment="1">
      <alignment horizontal="center" textRotation="90" wrapText="1" readingOrder="1"/>
    </xf>
    <xf numFmtId="3" fontId="12" fillId="0" borderId="1" xfId="2" applyNumberFormat="1" applyBorder="1"/>
    <xf numFmtId="3" fontId="12" fillId="0" borderId="1" xfId="2" applyNumberFormat="1" applyBorder="1" applyAlignment="1">
      <alignment horizontal="right"/>
    </xf>
    <xf numFmtId="3" fontId="12" fillId="0" borderId="1" xfId="7" applyNumberFormat="1" applyFont="1" applyFill="1" applyBorder="1" applyAlignment="1">
      <alignment horizontal="right"/>
    </xf>
    <xf numFmtId="1" fontId="46" fillId="0" borderId="0" xfId="8" applyNumberFormat="1" applyFill="1"/>
    <xf numFmtId="49" fontId="12" fillId="3" borderId="20" xfId="2" applyNumberFormat="1" applyFill="1" applyBorder="1" applyAlignment="1">
      <alignment horizontal="center" textRotation="90" wrapText="1"/>
    </xf>
    <xf numFmtId="49" fontId="12" fillId="3" borderId="54" xfId="2" applyNumberFormat="1" applyFill="1" applyBorder="1" applyAlignment="1">
      <alignment horizontal="center" textRotation="90" wrapText="1"/>
    </xf>
    <xf numFmtId="49" fontId="12" fillId="3" borderId="51" xfId="2" applyNumberFormat="1" applyFill="1" applyBorder="1" applyAlignment="1">
      <alignment horizontal="center" textRotation="90" wrapText="1"/>
    </xf>
    <xf numFmtId="49" fontId="45" fillId="0" borderId="48" xfId="2" applyNumberFormat="1" applyFont="1" applyBorder="1" applyAlignment="1">
      <alignment horizontal="center" wrapText="1"/>
    </xf>
    <xf numFmtId="49" fontId="12" fillId="3" borderId="20" xfId="2" applyNumberFormat="1" applyFill="1" applyBorder="1" applyAlignment="1">
      <alignment horizontal="center" textRotation="90" wrapText="1" readingOrder="1"/>
    </xf>
    <xf numFmtId="49" fontId="13" fillId="3" borderId="48" xfId="2" applyNumberFormat="1" applyFont="1" applyFill="1" applyBorder="1" applyAlignment="1">
      <alignment horizontal="center" textRotation="90" wrapText="1"/>
    </xf>
    <xf numFmtId="49" fontId="12" fillId="3" borderId="75" xfId="2" applyNumberFormat="1" applyFill="1" applyBorder="1" applyAlignment="1">
      <alignment horizontal="center" textRotation="90" wrapText="1"/>
    </xf>
    <xf numFmtId="49" fontId="12" fillId="3" borderId="67" xfId="2" applyNumberFormat="1" applyFill="1" applyBorder="1" applyAlignment="1">
      <alignment horizontal="center" textRotation="90" wrapText="1"/>
    </xf>
    <xf numFmtId="0" fontId="12" fillId="3" borderId="0" xfId="2" applyFill="1" applyAlignment="1">
      <alignment textRotation="90" wrapText="1"/>
    </xf>
    <xf numFmtId="3" fontId="12" fillId="0" borderId="15" xfId="2" applyNumberFormat="1" applyBorder="1"/>
    <xf numFmtId="3" fontId="12" fillId="0" borderId="14" xfId="2" applyNumberFormat="1" applyBorder="1"/>
    <xf numFmtId="3" fontId="13" fillId="0" borderId="44" xfId="2" applyNumberFormat="1" applyFont="1" applyBorder="1"/>
    <xf numFmtId="3" fontId="12" fillId="0" borderId="15" xfId="0" applyNumberFormat="1" applyFont="1" applyBorder="1"/>
    <xf numFmtId="3" fontId="12" fillId="0" borderId="15" xfId="3" applyNumberFormat="1" applyFont="1" applyFill="1" applyBorder="1"/>
    <xf numFmtId="3" fontId="12" fillId="0" borderId="60" xfId="2" applyNumberFormat="1" applyBorder="1"/>
    <xf numFmtId="169" fontId="12" fillId="3" borderId="0" xfId="2" quotePrefix="1" applyNumberFormat="1" applyFill="1"/>
    <xf numFmtId="3" fontId="12" fillId="0" borderId="14" xfId="3" applyNumberFormat="1" applyFont="1" applyFill="1" applyBorder="1"/>
    <xf numFmtId="3" fontId="12" fillId="0" borderId="10" xfId="2" applyNumberFormat="1" applyBorder="1"/>
    <xf numFmtId="3" fontId="12" fillId="0" borderId="11" xfId="2" applyNumberFormat="1" applyBorder="1"/>
    <xf numFmtId="3" fontId="12" fillId="0" borderId="74" xfId="0" applyNumberFormat="1" applyFont="1" applyBorder="1"/>
    <xf numFmtId="3" fontId="12" fillId="0" borderId="13" xfId="0" applyNumberFormat="1" applyFont="1" applyBorder="1"/>
    <xf numFmtId="3" fontId="12" fillId="0" borderId="1" xfId="8" applyNumberFormat="1" applyFont="1" applyFill="1" applyBorder="1"/>
    <xf numFmtId="164" fontId="12" fillId="3" borderId="0" xfId="2" applyNumberFormat="1" applyFill="1"/>
    <xf numFmtId="3" fontId="12" fillId="3" borderId="60" xfId="0" applyNumberFormat="1" applyFont="1" applyFill="1" applyBorder="1"/>
    <xf numFmtId="3" fontId="12" fillId="9" borderId="44" xfId="0" applyNumberFormat="1" applyFont="1" applyFill="1" applyBorder="1" applyAlignment="1">
      <alignment horizontal="left" indent="1"/>
    </xf>
    <xf numFmtId="3" fontId="12" fillId="0" borderId="60" xfId="0" applyNumberFormat="1" applyFont="1" applyBorder="1"/>
    <xf numFmtId="3" fontId="12" fillId="0" borderId="14" xfId="0" applyNumberFormat="1" applyFont="1" applyBorder="1"/>
    <xf numFmtId="3" fontId="12" fillId="3" borderId="14" xfId="0" applyNumberFormat="1" applyFont="1" applyFill="1" applyBorder="1"/>
    <xf numFmtId="3" fontId="12" fillId="3" borderId="15" xfId="0" applyNumberFormat="1" applyFont="1" applyFill="1" applyBorder="1"/>
    <xf numFmtId="3" fontId="13" fillId="3" borderId="44" xfId="0" applyNumberFormat="1" applyFont="1" applyFill="1" applyBorder="1"/>
    <xf numFmtId="0" fontId="0" fillId="3" borderId="0" xfId="0" applyFill="1"/>
    <xf numFmtId="1" fontId="12" fillId="3" borderId="1" xfId="0" applyNumberFormat="1" applyFont="1" applyFill="1" applyBorder="1"/>
    <xf numFmtId="1" fontId="12" fillId="0" borderId="1" xfId="0" applyNumberFormat="1" applyFont="1" applyBorder="1"/>
    <xf numFmtId="1" fontId="12" fillId="0" borderId="1" xfId="3" applyNumberFormat="1" applyFont="1" applyFill="1" applyBorder="1"/>
    <xf numFmtId="1" fontId="12" fillId="0" borderId="0" xfId="0" applyNumberFormat="1" applyFont="1"/>
    <xf numFmtId="3" fontId="12" fillId="3" borderId="1" xfId="0" applyNumberFormat="1" applyFont="1" applyFill="1" applyBorder="1"/>
    <xf numFmtId="167" fontId="12" fillId="0" borderId="15" xfId="2" applyNumberFormat="1" applyBorder="1"/>
    <xf numFmtId="167" fontId="12" fillId="0" borderId="14" xfId="2" applyNumberFormat="1" applyBorder="1"/>
    <xf numFmtId="3" fontId="12" fillId="0" borderId="60" xfId="3" applyNumberFormat="1" applyFont="1" applyFill="1" applyBorder="1"/>
    <xf numFmtId="3" fontId="12" fillId="3" borderId="0" xfId="2" applyNumberFormat="1" applyFill="1"/>
    <xf numFmtId="0" fontId="12" fillId="0" borderId="0" xfId="0" applyFont="1"/>
    <xf numFmtId="1" fontId="12" fillId="0" borderId="76" xfId="3" applyNumberFormat="1" applyFont="1" applyFill="1" applyBorder="1"/>
    <xf numFmtId="3" fontId="12" fillId="9" borderId="38" xfId="2" applyNumberFormat="1" applyFill="1" applyBorder="1" applyAlignment="1">
      <alignment horizontal="left" indent="1"/>
    </xf>
    <xf numFmtId="1" fontId="12" fillId="3" borderId="1" xfId="2" applyNumberFormat="1" applyFill="1" applyBorder="1"/>
    <xf numFmtId="1" fontId="12" fillId="0" borderId="1" xfId="2" applyNumberFormat="1" applyBorder="1"/>
    <xf numFmtId="1" fontId="12" fillId="3" borderId="0" xfId="0" applyNumberFormat="1" applyFont="1" applyFill="1"/>
    <xf numFmtId="3" fontId="12" fillId="0" borderId="0" xfId="0" applyNumberFormat="1" applyFont="1"/>
    <xf numFmtId="3" fontId="12" fillId="3" borderId="77" xfId="2" applyNumberFormat="1" applyFill="1" applyBorder="1"/>
    <xf numFmtId="3" fontId="12" fillId="0" borderId="55" xfId="2" applyNumberFormat="1" applyBorder="1"/>
    <xf numFmtId="3" fontId="12" fillId="3" borderId="57" xfId="2" applyNumberFormat="1" applyFill="1" applyBorder="1"/>
    <xf numFmtId="3" fontId="12" fillId="3" borderId="4" xfId="2" applyNumberFormat="1" applyFill="1" applyBorder="1"/>
    <xf numFmtId="3" fontId="12" fillId="3" borderId="33" xfId="2" applyNumberFormat="1" applyFill="1" applyBorder="1"/>
    <xf numFmtId="3" fontId="12" fillId="3" borderId="6" xfId="2" applyNumberFormat="1" applyFill="1" applyBorder="1"/>
    <xf numFmtId="3" fontId="12" fillId="3" borderId="42" xfId="2" applyNumberFormat="1" applyFill="1" applyBorder="1"/>
    <xf numFmtId="3" fontId="13" fillId="3" borderId="43" xfId="2" applyNumberFormat="1" applyFont="1" applyFill="1" applyBorder="1"/>
    <xf numFmtId="167" fontId="12" fillId="3" borderId="49" xfId="2" applyNumberFormat="1" applyFill="1" applyBorder="1"/>
    <xf numFmtId="3" fontId="12" fillId="3" borderId="49" xfId="2" applyNumberFormat="1" applyFill="1" applyBorder="1"/>
    <xf numFmtId="3" fontId="12" fillId="3" borderId="78" xfId="2" applyNumberFormat="1" applyFill="1" applyBorder="1"/>
    <xf numFmtId="167" fontId="12" fillId="3" borderId="37" xfId="2" applyNumberFormat="1" applyFill="1" applyBorder="1"/>
    <xf numFmtId="3" fontId="12" fillId="3" borderId="32" xfId="0" applyNumberFormat="1" applyFont="1" applyFill="1" applyBorder="1"/>
    <xf numFmtId="3" fontId="12" fillId="3" borderId="38" xfId="0" applyNumberFormat="1" applyFont="1" applyFill="1" applyBorder="1"/>
    <xf numFmtId="167" fontId="12" fillId="3" borderId="56" xfId="0" applyNumberFormat="1" applyFont="1" applyFill="1" applyBorder="1"/>
    <xf numFmtId="3" fontId="12" fillId="3" borderId="79" xfId="0" applyNumberFormat="1" applyFont="1" applyFill="1" applyBorder="1"/>
    <xf numFmtId="3" fontId="12" fillId="3" borderId="80" xfId="0" applyNumberFormat="1" applyFont="1" applyFill="1" applyBorder="1"/>
    <xf numFmtId="1" fontId="12" fillId="3" borderId="2" xfId="6" applyNumberFormat="1" applyFill="1" applyBorder="1" applyAlignment="1">
      <alignment horizontal="center" textRotation="90"/>
    </xf>
    <xf numFmtId="164" fontId="12" fillId="3" borderId="64" xfId="6" applyNumberFormat="1" applyFill="1" applyBorder="1" applyAlignment="1">
      <alignment horizontal="center" textRotation="90"/>
    </xf>
    <xf numFmtId="1" fontId="12" fillId="3" borderId="20" xfId="2" applyNumberFormat="1" applyFill="1" applyBorder="1" applyAlignment="1">
      <alignment horizontal="center" textRotation="90"/>
    </xf>
    <xf numFmtId="1" fontId="12" fillId="3" borderId="4" xfId="2" applyNumberFormat="1" applyFill="1" applyBorder="1" applyAlignment="1">
      <alignment vertical="center"/>
    </xf>
    <xf numFmtId="1" fontId="12" fillId="3" borderId="40" xfId="2" applyNumberFormat="1" applyFill="1" applyBorder="1" applyAlignment="1">
      <alignment vertical="center"/>
    </xf>
    <xf numFmtId="1" fontId="12" fillId="0" borderId="40" xfId="2" applyNumberFormat="1" applyBorder="1" applyAlignment="1">
      <alignment vertical="center"/>
    </xf>
    <xf numFmtId="0" fontId="12" fillId="3" borderId="0" xfId="2" applyFill="1" applyAlignment="1">
      <alignment vertical="center"/>
    </xf>
    <xf numFmtId="0" fontId="47" fillId="3" borderId="0" xfId="2" applyFont="1" applyFill="1"/>
    <xf numFmtId="1" fontId="12" fillId="0" borderId="0" xfId="2" applyNumberFormat="1" applyAlignment="1">
      <alignment horizontal="right"/>
    </xf>
    <xf numFmtId="3" fontId="12" fillId="0" borderId="0" xfId="2" applyNumberFormat="1"/>
    <xf numFmtId="3" fontId="0" fillId="0" borderId="60" xfId="0" applyNumberFormat="1" applyBorder="1"/>
    <xf numFmtId="0" fontId="12" fillId="0" borderId="0" xfId="2"/>
    <xf numFmtId="3" fontId="12" fillId="0" borderId="1" xfId="7" applyNumberFormat="1" applyFont="1" applyFill="1" applyBorder="1"/>
    <xf numFmtId="3" fontId="0" fillId="0" borderId="74" xfId="0" applyNumberFormat="1" applyBorder="1"/>
    <xf numFmtId="3" fontId="0" fillId="0" borderId="11" xfId="0" applyNumberFormat="1" applyBorder="1"/>
    <xf numFmtId="3" fontId="0" fillId="0" borderId="13" xfId="0" applyNumberFormat="1" applyBorder="1"/>
    <xf numFmtId="3" fontId="12" fillId="0" borderId="1" xfId="9" applyNumberFormat="1" applyFont="1" applyFill="1" applyBorder="1"/>
    <xf numFmtId="3" fontId="0" fillId="3" borderId="60" xfId="0" applyNumberFormat="1" applyFill="1" applyBorder="1"/>
    <xf numFmtId="3" fontId="0" fillId="0" borderId="14" xfId="0" applyNumberFormat="1" applyBorder="1"/>
    <xf numFmtId="3" fontId="0" fillId="3" borderId="14" xfId="0" applyNumberFormat="1" applyFill="1" applyBorder="1"/>
    <xf numFmtId="3" fontId="0" fillId="3" borderId="15" xfId="0" applyNumberFormat="1" applyFill="1" applyBorder="1"/>
    <xf numFmtId="3" fontId="0" fillId="3" borderId="1" xfId="0" applyNumberFormat="1" applyFill="1" applyBorder="1"/>
    <xf numFmtId="1" fontId="0" fillId="3" borderId="1" xfId="0" applyNumberFormat="1" applyFill="1" applyBorder="1"/>
    <xf numFmtId="1" fontId="0" fillId="0" borderId="1" xfId="0" applyNumberFormat="1" applyBorder="1"/>
    <xf numFmtId="3" fontId="0" fillId="0" borderId="1" xfId="9" applyNumberFormat="1" applyFont="1" applyFill="1" applyBorder="1"/>
    <xf numFmtId="1" fontId="0" fillId="0" borderId="0" xfId="0" applyNumberFormat="1"/>
    <xf numFmtId="1" fontId="0" fillId="0" borderId="76" xfId="0" applyNumberFormat="1" applyBorder="1"/>
    <xf numFmtId="1" fontId="0" fillId="3" borderId="0" xfId="0" applyNumberFormat="1" applyFill="1"/>
    <xf numFmtId="3" fontId="0" fillId="0" borderId="0" xfId="0" applyNumberFormat="1"/>
    <xf numFmtId="3" fontId="0" fillId="3" borderId="32" xfId="0" applyNumberFormat="1" applyFill="1" applyBorder="1"/>
    <xf numFmtId="3" fontId="0" fillId="3" borderId="38" xfId="0" applyNumberFormat="1" applyFill="1" applyBorder="1"/>
    <xf numFmtId="167" fontId="0" fillId="3" borderId="56" xfId="0" applyNumberFormat="1" applyFill="1" applyBorder="1"/>
    <xf numFmtId="3" fontId="0" fillId="3" borderId="79" xfId="0" applyNumberFormat="1" applyFill="1" applyBorder="1"/>
    <xf numFmtId="3" fontId="0" fillId="3" borderId="80" xfId="0" applyNumberFormat="1" applyFill="1" applyBorder="1"/>
    <xf numFmtId="1" fontId="12" fillId="3" borderId="2" xfId="6" applyNumberFormat="1" applyFont="1" applyFill="1" applyBorder="1" applyAlignment="1">
      <alignment horizontal="center" textRotation="90"/>
    </xf>
    <xf numFmtId="164" fontId="12" fillId="3" borderId="64" xfId="6" applyNumberFormat="1" applyFont="1" applyFill="1" applyBorder="1" applyAlignment="1">
      <alignment horizontal="center" textRotation="90"/>
    </xf>
    <xf numFmtId="2" fontId="9" fillId="0" borderId="23" xfId="0" applyNumberFormat="1" applyFont="1" applyBorder="1" applyAlignment="1">
      <alignment horizontal="center" vertical="center"/>
    </xf>
    <xf numFmtId="2" fontId="9" fillId="0" borderId="24" xfId="0" applyNumberFormat="1" applyFont="1" applyBorder="1" applyAlignment="1">
      <alignment horizontal="center" vertical="center"/>
    </xf>
    <xf numFmtId="2" fontId="9" fillId="0" borderId="25" xfId="0" applyNumberFormat="1" applyFont="1" applyBorder="1" applyAlignment="1">
      <alignment horizontal="center" vertical="center"/>
    </xf>
    <xf numFmtId="2" fontId="9" fillId="0" borderId="27" xfId="0" applyNumberFormat="1" applyFont="1" applyBorder="1" applyAlignment="1">
      <alignment horizontal="center" vertical="center"/>
    </xf>
    <xf numFmtId="2" fontId="9" fillId="0" borderId="28" xfId="0" applyNumberFormat="1" applyFont="1" applyBorder="1" applyAlignment="1">
      <alignment horizontal="center" vertical="center"/>
    </xf>
    <xf numFmtId="2" fontId="9" fillId="0" borderId="29" xfId="0" applyNumberFormat="1" applyFont="1" applyBorder="1" applyAlignment="1">
      <alignment horizontal="center" vertical="center"/>
    </xf>
    <xf numFmtId="164" fontId="17" fillId="8" borderId="37" xfId="2" applyNumberFormat="1" applyFont="1" applyFill="1" applyBorder="1" applyAlignment="1">
      <alignment horizontal="center"/>
    </xf>
    <xf numFmtId="164" fontId="17" fillId="8" borderId="32" xfId="2" applyNumberFormat="1" applyFont="1" applyFill="1" applyBorder="1" applyAlignment="1">
      <alignment horizontal="center"/>
    </xf>
    <xf numFmtId="164" fontId="17" fillId="8" borderId="38" xfId="2" applyNumberFormat="1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" fontId="12" fillId="3" borderId="0" xfId="2" applyNumberFormat="1" applyFill="1" applyBorder="1" applyAlignment="1">
      <alignment horizontal="left"/>
    </xf>
    <xf numFmtId="0" fontId="14" fillId="3" borderId="0" xfId="0" applyFont="1" applyFill="1" applyAlignment="1">
      <alignment horizontal="center"/>
    </xf>
    <xf numFmtId="3" fontId="17" fillId="8" borderId="34" xfId="2" applyNumberFormat="1" applyFont="1" applyFill="1" applyBorder="1" applyAlignment="1">
      <alignment horizontal="center"/>
    </xf>
    <xf numFmtId="3" fontId="17" fillId="8" borderId="35" xfId="2" applyNumberFormat="1" applyFont="1" applyFill="1" applyBorder="1" applyAlignment="1">
      <alignment horizontal="center"/>
    </xf>
    <xf numFmtId="3" fontId="17" fillId="8" borderId="36" xfId="2" applyNumberFormat="1" applyFont="1" applyFill="1" applyBorder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14" fillId="3" borderId="28" xfId="0" applyFont="1" applyFill="1" applyBorder="1" applyAlignment="1">
      <alignment horizontal="center"/>
    </xf>
    <xf numFmtId="1" fontId="12" fillId="3" borderId="0" xfId="2" applyNumberFormat="1" applyFill="1" applyBorder="1"/>
    <xf numFmtId="0" fontId="3" fillId="8" borderId="14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8" borderId="15" xfId="0" applyFont="1" applyFill="1" applyBorder="1" applyAlignment="1">
      <alignment horizontal="center"/>
    </xf>
    <xf numFmtId="3" fontId="3" fillId="8" borderId="37" xfId="0" applyNumberFormat="1" applyFont="1" applyFill="1" applyBorder="1" applyAlignment="1">
      <alignment horizontal="center"/>
    </xf>
    <xf numFmtId="3" fontId="3" fillId="8" borderId="32" xfId="0" applyNumberFormat="1" applyFont="1" applyFill="1" applyBorder="1" applyAlignment="1">
      <alignment horizontal="center"/>
    </xf>
    <xf numFmtId="3" fontId="3" fillId="8" borderId="38" xfId="0" applyNumberFormat="1" applyFont="1" applyFill="1" applyBorder="1" applyAlignment="1">
      <alignment horizontal="center"/>
    </xf>
    <xf numFmtId="0" fontId="0" fillId="3" borderId="23" xfId="0" applyFill="1" applyBorder="1" applyAlignment="1">
      <alignment horizontal="left"/>
    </xf>
    <xf numFmtId="0" fontId="0" fillId="3" borderId="24" xfId="0" applyFill="1" applyBorder="1" applyAlignment="1">
      <alignment horizontal="left"/>
    </xf>
    <xf numFmtId="0" fontId="19" fillId="0" borderId="7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6" fillId="13" borderId="8" xfId="0" applyFont="1" applyFill="1" applyBorder="1" applyAlignment="1">
      <alignment horizontal="center"/>
    </xf>
    <xf numFmtId="0" fontId="6" fillId="13" borderId="9" xfId="0" applyFont="1" applyFill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13" borderId="8" xfId="0" applyFont="1" applyFill="1" applyBorder="1" applyAlignment="1">
      <alignment horizontal="center" vertical="center"/>
    </xf>
    <xf numFmtId="0" fontId="6" fillId="13" borderId="9" xfId="0" applyFont="1" applyFill="1" applyBorder="1" applyAlignment="1">
      <alignment horizontal="center" vertical="center"/>
    </xf>
    <xf numFmtId="0" fontId="3" fillId="8" borderId="39" xfId="0" applyFont="1" applyFill="1" applyBorder="1" applyAlignment="1">
      <alignment horizontal="center"/>
    </xf>
    <xf numFmtId="0" fontId="3" fillId="8" borderId="30" xfId="0" applyFont="1" applyFill="1" applyBorder="1" applyAlignment="1">
      <alignment horizontal="center"/>
    </xf>
    <xf numFmtId="0" fontId="3" fillId="8" borderId="55" xfId="0" applyFont="1" applyFill="1" applyBorder="1" applyAlignment="1">
      <alignment horizontal="center"/>
    </xf>
    <xf numFmtId="3" fontId="3" fillId="8" borderId="10" xfId="0" applyNumberFormat="1" applyFont="1" applyFill="1" applyBorder="1" applyAlignment="1">
      <alignment horizontal="center" vertical="center"/>
    </xf>
    <xf numFmtId="3" fontId="3" fillId="8" borderId="11" xfId="0" applyNumberFormat="1" applyFont="1" applyFill="1" applyBorder="1" applyAlignment="1">
      <alignment horizontal="center" vertical="center"/>
    </xf>
    <xf numFmtId="3" fontId="3" fillId="8" borderId="13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wrapText="1"/>
    </xf>
    <xf numFmtId="0" fontId="2" fillId="0" borderId="64" xfId="0" applyFont="1" applyBorder="1" applyAlignment="1">
      <alignment horizontal="left" wrapText="1"/>
    </xf>
    <xf numFmtId="0" fontId="2" fillId="5" borderId="63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" fillId="5" borderId="25" xfId="0" applyFont="1" applyFill="1" applyBorder="1" applyAlignment="1">
      <alignment horizontal="center"/>
    </xf>
    <xf numFmtId="1" fontId="44" fillId="3" borderId="35" xfId="2" applyNumberFormat="1" applyFont="1" applyFill="1" applyBorder="1" applyAlignment="1">
      <alignment horizontal="center"/>
    </xf>
    <xf numFmtId="1" fontId="12" fillId="3" borderId="58" xfId="2" applyNumberFormat="1" applyFill="1" applyBorder="1" applyAlignment="1">
      <alignment horizontal="center" textRotation="90" wrapText="1"/>
    </xf>
    <xf numFmtId="1" fontId="12" fillId="3" borderId="71" xfId="2" applyNumberFormat="1" applyFill="1" applyBorder="1" applyAlignment="1">
      <alignment horizontal="center" textRotation="90" wrapText="1"/>
    </xf>
    <xf numFmtId="1" fontId="12" fillId="3" borderId="54" xfId="2" applyNumberFormat="1" applyFill="1" applyBorder="1" applyAlignment="1">
      <alignment horizontal="center" textRotation="90" wrapText="1"/>
    </xf>
    <xf numFmtId="3" fontId="12" fillId="0" borderId="24" xfId="2" applyNumberFormat="1" applyBorder="1" applyAlignment="1" applyProtection="1">
      <alignment horizontal="left"/>
      <protection locked="0"/>
    </xf>
    <xf numFmtId="3" fontId="12" fillId="0" borderId="25" xfId="2" applyNumberFormat="1" applyBorder="1" applyAlignment="1" applyProtection="1">
      <alignment horizontal="left"/>
      <protection locked="0"/>
    </xf>
    <xf numFmtId="1" fontId="12" fillId="3" borderId="31" xfId="2" applyNumberFormat="1" applyFill="1" applyBorder="1" applyAlignment="1">
      <alignment horizontal="center" textRotation="90" wrapText="1"/>
    </xf>
    <xf numFmtId="1" fontId="12" fillId="3" borderId="50" xfId="2" applyNumberFormat="1" applyFill="1" applyBorder="1" applyAlignment="1">
      <alignment horizontal="center" textRotation="90" wrapText="1"/>
    </xf>
    <xf numFmtId="1" fontId="12" fillId="3" borderId="51" xfId="2" applyNumberFormat="1" applyFill="1" applyBorder="1" applyAlignment="1">
      <alignment horizontal="center" textRotation="90" wrapText="1"/>
    </xf>
    <xf numFmtId="3" fontId="12" fillId="3" borderId="24" xfId="3" applyNumberFormat="1" applyFont="1" applyFill="1" applyBorder="1" applyAlignment="1" applyProtection="1">
      <alignment horizontal="left"/>
      <protection locked="0"/>
    </xf>
    <xf numFmtId="3" fontId="12" fillId="3" borderId="25" xfId="3" applyNumberFormat="1" applyFont="1" applyFill="1" applyBorder="1" applyAlignment="1" applyProtection="1">
      <alignment horizontal="left"/>
      <protection locked="0"/>
    </xf>
    <xf numFmtId="1" fontId="42" fillId="3" borderId="0" xfId="2" applyNumberFormat="1" applyFont="1" applyFill="1" applyAlignment="1">
      <alignment horizontal="center"/>
    </xf>
    <xf numFmtId="1" fontId="43" fillId="3" borderId="0" xfId="0" applyNumberFormat="1" applyFont="1" applyFill="1" applyAlignment="1">
      <alignment horizontal="center" vertical="top"/>
    </xf>
    <xf numFmtId="1" fontId="43" fillId="0" borderId="0" xfId="0" applyNumberFormat="1" applyFont="1" applyAlignment="1">
      <alignment horizontal="center" vertical="top"/>
    </xf>
    <xf numFmtId="0" fontId="0" fillId="0" borderId="5" xfId="0" applyBorder="1" applyAlignment="1">
      <alignment horizontal="right"/>
    </xf>
  </cellXfs>
  <cellStyles count="10">
    <cellStyle name="1000-sep (2 dec) 2" xfId="7" xr:uid="{96836CC6-A0D2-4DA7-A8DF-16F99B14C380}"/>
    <cellStyle name="40 % - Farve6" xfId="4" builtinId="51"/>
    <cellStyle name="God" xfId="3" builtinId="26"/>
    <cellStyle name="Komma 2 3" xfId="9" xr:uid="{5F2F9DC9-B5CA-4C28-8127-3B80060C2E09}"/>
    <cellStyle name="Normal" xfId="0" builtinId="0"/>
    <cellStyle name="Normal 2 2" xfId="2" xr:uid="{27DF6C32-23A9-4A23-849C-CFD2D59D5A4C}"/>
    <cellStyle name="Normal 4" xfId="5" xr:uid="{E69DD566-C4EC-4A34-A32D-385AE0AF0BBD}"/>
    <cellStyle name="Procent" xfId="1" builtinId="5"/>
    <cellStyle name="Procent 2" xfId="6" xr:uid="{29B33162-FC22-41C9-B7B8-921967ADA2AF}"/>
    <cellStyle name="Ugyldig" xfId="8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wmf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wmf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wmf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wmf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533400</xdr:colOff>
      <xdr:row>21</xdr:row>
      <xdr:rowOff>114300</xdr:rowOff>
    </xdr:from>
    <xdr:ext cx="5884688" cy="1517082"/>
    <xdr:sp macro="" textlink="">
      <xdr:nvSpPr>
        <xdr:cNvPr id="3" name="Tekstfelt 2">
          <a:extLst>
            <a:ext uri="{FF2B5EF4-FFF2-40B4-BE49-F238E27FC236}">
              <a16:creationId xmlns:a16="http://schemas.microsoft.com/office/drawing/2014/main" id="{084F6EEF-ED16-4892-A225-AF8D89F56221}"/>
            </a:ext>
          </a:extLst>
        </xdr:cNvPr>
        <xdr:cNvSpPr txBox="1"/>
      </xdr:nvSpPr>
      <xdr:spPr>
        <a:xfrm>
          <a:off x="533400" y="5010150"/>
          <a:ext cx="5884688" cy="1517082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a-DK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Hvad er CO2-e?</a:t>
          </a:r>
        </a:p>
        <a:p>
          <a:r>
            <a:rPr lang="da-D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Drivhuspotentialet (også kaldet Global Warming Potential (GWP)) for kuldioxid sættes pr. definition</a:t>
          </a:r>
        </a:p>
        <a:p>
          <a:r>
            <a:rPr lang="da-D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til 1. Drivhuspotentialet for de øvrige drivhusgasser omregnes til CO2 ækvivalenter (CO2e).</a:t>
          </a:r>
        </a:p>
        <a:p>
          <a:r>
            <a:rPr lang="da-D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CO2e er et mål for hvor meget, de øvrige drivhusgasser bidrager til den globale opvarmning i</a:t>
          </a:r>
        </a:p>
        <a:p>
          <a:r>
            <a:rPr lang="da-D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forhold til drivhusgassen kuldioxid.</a:t>
          </a:r>
        </a:p>
        <a:p>
          <a:r>
            <a:rPr lang="da-D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FN’s klimapanel har fastlagt omregningsfaktorer for hver af de drivhusgasser, som beregnes i</a:t>
          </a:r>
        </a:p>
        <a:p>
          <a:r>
            <a:rPr lang="da-D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klimaregnskabet. Nedenfor er vist omregningsfaktorer for CO2, CH4 og N2O.</a:t>
          </a:r>
        </a:p>
        <a:p>
          <a:endParaRPr lang="da-DK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828115</xdr:colOff>
      <xdr:row>20</xdr:row>
      <xdr:rowOff>336737</xdr:rowOff>
    </xdr:from>
    <xdr:to>
      <xdr:col>10</xdr:col>
      <xdr:colOff>3117234</xdr:colOff>
      <xdr:row>20</xdr:row>
      <xdr:rowOff>1197656</xdr:rowOff>
    </xdr:to>
    <xdr:pic>
      <xdr:nvPicPr>
        <xdr:cNvPr id="7" name="Billede 6">
          <a:extLst>
            <a:ext uri="{FF2B5EF4-FFF2-40B4-BE49-F238E27FC236}">
              <a16:creationId xmlns:a16="http://schemas.microsoft.com/office/drawing/2014/main" id="{8936759A-23BD-4460-B092-386492208F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19765" y="4508687"/>
          <a:ext cx="2289119" cy="860919"/>
        </a:xfrm>
        <a:prstGeom prst="rect">
          <a:avLst/>
        </a:prstGeom>
      </xdr:spPr>
    </xdr:pic>
    <xdr:clientData/>
  </xdr:twoCellAnchor>
  <xdr:oneCellAnchor>
    <xdr:from>
      <xdr:col>7</xdr:col>
      <xdr:colOff>381000</xdr:colOff>
      <xdr:row>2</xdr:row>
      <xdr:rowOff>171450</xdr:rowOff>
    </xdr:from>
    <xdr:ext cx="5884688" cy="1517082"/>
    <xdr:sp macro="" textlink="">
      <xdr:nvSpPr>
        <xdr:cNvPr id="4" name="Tekstfelt 3">
          <a:extLst>
            <a:ext uri="{FF2B5EF4-FFF2-40B4-BE49-F238E27FC236}">
              <a16:creationId xmlns:a16="http://schemas.microsoft.com/office/drawing/2014/main" id="{7B774C4B-74EF-4E1F-9136-A467A6199121}"/>
            </a:ext>
          </a:extLst>
        </xdr:cNvPr>
        <xdr:cNvSpPr txBox="1"/>
      </xdr:nvSpPr>
      <xdr:spPr>
        <a:xfrm>
          <a:off x="8305800" y="657225"/>
          <a:ext cx="5884688" cy="1517082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a-DK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Hvad er CO2-e?</a:t>
          </a:r>
        </a:p>
        <a:p>
          <a:r>
            <a:rPr lang="da-D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Drivhuspotentialet (også kaldet Global Warming Potential (GWP)) for kuldioxid sættes pr. definition</a:t>
          </a:r>
        </a:p>
        <a:p>
          <a:r>
            <a:rPr lang="da-D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til 1. Drivhuspotentialet for de øvrige drivhusgasser omregnes til CO2 ækvivalenter (CO2e).</a:t>
          </a:r>
        </a:p>
        <a:p>
          <a:r>
            <a:rPr lang="da-D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CO2e er et mål for hvor meget, de øvrige drivhusgasser bidrager til den globale opvarmning i</a:t>
          </a:r>
        </a:p>
        <a:p>
          <a:r>
            <a:rPr lang="da-D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forhold til drivhusgassen kuldioxid.</a:t>
          </a:r>
        </a:p>
        <a:p>
          <a:r>
            <a:rPr lang="da-D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FN’s klimapanel har fastlagt omregningsfaktorer for hver af de drivhusgasser, som beregnes i</a:t>
          </a:r>
        </a:p>
        <a:p>
          <a:r>
            <a:rPr lang="da-D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klimaregnskabet. Nedenfor er vist omregningsfaktorer for CO2, CH4 og N2O.</a:t>
          </a:r>
        </a:p>
        <a:p>
          <a:endParaRPr lang="da-DK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806904</xdr:colOff>
      <xdr:row>71</xdr:row>
      <xdr:rowOff>112939</xdr:rowOff>
    </xdr:from>
    <xdr:to>
      <xdr:col>28</xdr:col>
      <xdr:colOff>3099198</xdr:colOff>
      <xdr:row>71</xdr:row>
      <xdr:rowOff>639848</xdr:rowOff>
    </xdr:to>
    <xdr:pic>
      <xdr:nvPicPr>
        <xdr:cNvPr id="7" name="Billede 6">
          <a:extLst>
            <a:ext uri="{FF2B5EF4-FFF2-40B4-BE49-F238E27FC236}">
              <a16:creationId xmlns:a16="http://schemas.microsoft.com/office/drawing/2014/main" id="{D1F17CA5-199E-41B2-93EC-E93CB9929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71354" y="14971939"/>
          <a:ext cx="2292294" cy="526909"/>
        </a:xfrm>
        <a:prstGeom prst="rect">
          <a:avLst/>
        </a:prstGeom>
      </xdr:spPr>
    </xdr:pic>
    <xdr:clientData/>
  </xdr:twoCellAnchor>
  <xdr:twoCellAnchor editAs="oneCell">
    <xdr:from>
      <xdr:col>28</xdr:col>
      <xdr:colOff>574675</xdr:colOff>
      <xdr:row>96</xdr:row>
      <xdr:rowOff>1499783</xdr:rowOff>
    </xdr:from>
    <xdr:to>
      <xdr:col>28</xdr:col>
      <xdr:colOff>2866969</xdr:colOff>
      <xdr:row>96</xdr:row>
      <xdr:rowOff>2114551</xdr:rowOff>
    </xdr:to>
    <xdr:pic>
      <xdr:nvPicPr>
        <xdr:cNvPr id="11" name="Billede 10">
          <a:extLst>
            <a:ext uri="{FF2B5EF4-FFF2-40B4-BE49-F238E27FC236}">
              <a16:creationId xmlns:a16="http://schemas.microsoft.com/office/drawing/2014/main" id="{14C36E6B-B881-44D8-80BD-C1834554C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44050" y="22283333"/>
          <a:ext cx="2292294" cy="614768"/>
        </a:xfrm>
        <a:prstGeom prst="rect">
          <a:avLst/>
        </a:prstGeom>
      </xdr:spPr>
    </xdr:pic>
    <xdr:clientData/>
  </xdr:twoCellAnchor>
  <xdr:oneCellAnchor>
    <xdr:from>
      <xdr:col>6</xdr:col>
      <xdr:colOff>0</xdr:colOff>
      <xdr:row>3</xdr:row>
      <xdr:rowOff>0</xdr:rowOff>
    </xdr:from>
    <xdr:ext cx="5884688" cy="1517082"/>
    <xdr:sp macro="" textlink="">
      <xdr:nvSpPr>
        <xdr:cNvPr id="16" name="Tekstfelt 15">
          <a:extLst>
            <a:ext uri="{FF2B5EF4-FFF2-40B4-BE49-F238E27FC236}">
              <a16:creationId xmlns:a16="http://schemas.microsoft.com/office/drawing/2014/main" id="{0440C9E9-4122-4E55-9508-53A534E0FE68}"/>
            </a:ext>
          </a:extLst>
        </xdr:cNvPr>
        <xdr:cNvSpPr txBox="1"/>
      </xdr:nvSpPr>
      <xdr:spPr>
        <a:xfrm>
          <a:off x="7277100" y="904875"/>
          <a:ext cx="5884688" cy="1517082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a-DK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Hvad er CO2-e?</a:t>
          </a:r>
        </a:p>
        <a:p>
          <a:r>
            <a:rPr lang="da-D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Drivhuspotentialet (også kaldet Global Warming Potential (GWP)) for kuldioxid sættes pr. definition</a:t>
          </a:r>
        </a:p>
        <a:p>
          <a:r>
            <a:rPr lang="da-D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til 1. Drivhuspotentialet for de øvrige drivhusgasser omregnes til CO2 ækvivalenter (CO2e).</a:t>
          </a:r>
        </a:p>
        <a:p>
          <a:r>
            <a:rPr lang="da-D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CO2e er et mål for hvor meget, de øvrige drivhusgasser bidrager til den globale opvarmning i</a:t>
          </a:r>
        </a:p>
        <a:p>
          <a:r>
            <a:rPr lang="da-D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forhold til drivhusgassen kuldioxid.</a:t>
          </a:r>
        </a:p>
        <a:p>
          <a:r>
            <a:rPr lang="da-D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FN’s klimapanel har fastlagt omregningsfaktorer for hver af de drivhusgasser, som beregnes i</a:t>
          </a:r>
        </a:p>
        <a:p>
          <a:r>
            <a:rPr lang="da-D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klimaregnskabet. Nedenfor er vist omregningsfaktorer for CO2, CH4 og N2O.</a:t>
          </a:r>
        </a:p>
        <a:p>
          <a:endParaRPr lang="da-DK" sz="1100"/>
        </a:p>
      </xdr:txBody>
    </xdr:sp>
    <xdr:clientData/>
  </xdr:oneCellAnchor>
  <xdr:oneCellAnchor>
    <xdr:from>
      <xdr:col>40</xdr:col>
      <xdr:colOff>190501</xdr:colOff>
      <xdr:row>96</xdr:row>
      <xdr:rowOff>2847975</xdr:rowOff>
    </xdr:from>
    <xdr:ext cx="2628900" cy="781240"/>
    <xdr:sp macro="" textlink="">
      <xdr:nvSpPr>
        <xdr:cNvPr id="17" name="Tekstfelt 16">
          <a:extLst>
            <a:ext uri="{FF2B5EF4-FFF2-40B4-BE49-F238E27FC236}">
              <a16:creationId xmlns:a16="http://schemas.microsoft.com/office/drawing/2014/main" id="{C96E0EA0-C61A-4962-801C-670CABB8427F}"/>
            </a:ext>
          </a:extLst>
        </xdr:cNvPr>
        <xdr:cNvSpPr txBox="1"/>
      </xdr:nvSpPr>
      <xdr:spPr>
        <a:xfrm>
          <a:off x="32746951" y="23660100"/>
          <a:ext cx="2628900" cy="78124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a-DK" sz="1100"/>
            <a:t>Disse tal bruges i omregningen fra Hektar(Ha) af en afgrøde til mængden af Nitrogen(N) som et led i af beregne udledningen af Lattergas(N2O)</a:t>
          </a:r>
        </a:p>
      </xdr:txBody>
    </xdr:sp>
    <xdr:clientData/>
  </xdr:oneCellAnchor>
  <xdr:twoCellAnchor>
    <xdr:from>
      <xdr:col>39</xdr:col>
      <xdr:colOff>314325</xdr:colOff>
      <xdr:row>96</xdr:row>
      <xdr:rowOff>3305175</xdr:rowOff>
    </xdr:from>
    <xdr:to>
      <xdr:col>40</xdr:col>
      <xdr:colOff>133350</xdr:colOff>
      <xdr:row>96</xdr:row>
      <xdr:rowOff>3695700</xdr:rowOff>
    </xdr:to>
    <xdr:cxnSp macro="">
      <xdr:nvCxnSpPr>
        <xdr:cNvPr id="19" name="Lige pilforbindelse 18">
          <a:extLst>
            <a:ext uri="{FF2B5EF4-FFF2-40B4-BE49-F238E27FC236}">
              <a16:creationId xmlns:a16="http://schemas.microsoft.com/office/drawing/2014/main" id="{1B457D2E-7E12-4FAC-A5FF-91CF0B3C3AA8}"/>
            </a:ext>
          </a:extLst>
        </xdr:cNvPr>
        <xdr:cNvCxnSpPr/>
      </xdr:nvCxnSpPr>
      <xdr:spPr>
        <a:xfrm flipV="1">
          <a:off x="32261175" y="24117300"/>
          <a:ext cx="428625" cy="390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104775</xdr:colOff>
      <xdr:row>96</xdr:row>
      <xdr:rowOff>3095625</xdr:rowOff>
    </xdr:from>
    <xdr:to>
      <xdr:col>40</xdr:col>
      <xdr:colOff>104775</xdr:colOff>
      <xdr:row>97</xdr:row>
      <xdr:rowOff>190500</xdr:rowOff>
    </xdr:to>
    <xdr:cxnSp macro="">
      <xdr:nvCxnSpPr>
        <xdr:cNvPr id="21" name="Lige pilforbindelse 20">
          <a:extLst>
            <a:ext uri="{FF2B5EF4-FFF2-40B4-BE49-F238E27FC236}">
              <a16:creationId xmlns:a16="http://schemas.microsoft.com/office/drawing/2014/main" id="{0728F3A5-58D8-4E65-AD04-4EDA4EEFE396}"/>
            </a:ext>
          </a:extLst>
        </xdr:cNvPr>
        <xdr:cNvCxnSpPr/>
      </xdr:nvCxnSpPr>
      <xdr:spPr>
        <a:xfrm flipH="1">
          <a:off x="27784425" y="23907750"/>
          <a:ext cx="4876800" cy="8477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66675</xdr:colOff>
      <xdr:row>3</xdr:row>
      <xdr:rowOff>123825</xdr:rowOff>
    </xdr:from>
    <xdr:ext cx="5884688" cy="1517082"/>
    <xdr:sp macro="" textlink="">
      <xdr:nvSpPr>
        <xdr:cNvPr id="2" name="Tekstfelt 1">
          <a:extLst>
            <a:ext uri="{FF2B5EF4-FFF2-40B4-BE49-F238E27FC236}">
              <a16:creationId xmlns:a16="http://schemas.microsoft.com/office/drawing/2014/main" id="{2F921DA4-5E7D-453C-BC5C-AC4270322B23}"/>
            </a:ext>
          </a:extLst>
        </xdr:cNvPr>
        <xdr:cNvSpPr txBox="1"/>
      </xdr:nvSpPr>
      <xdr:spPr>
        <a:xfrm>
          <a:off x="5991225" y="809625"/>
          <a:ext cx="5884688" cy="1517082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a-DK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Hvad er CO2-e?</a:t>
          </a:r>
        </a:p>
        <a:p>
          <a:r>
            <a:rPr lang="da-D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Drivhuspotentialet (også kaldet Global Warming Potential (GWP)) for kuldioxid sættes pr. definition</a:t>
          </a:r>
        </a:p>
        <a:p>
          <a:r>
            <a:rPr lang="da-D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til 1. Drivhuspotentialet for de øvrige drivhusgasser omregnes til CO2 ækvivalenter (CO2e).</a:t>
          </a:r>
        </a:p>
        <a:p>
          <a:r>
            <a:rPr lang="da-D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CO2e er et mål for hvor meget, de øvrige drivhusgasser bidrager til den globale opvarmning i</a:t>
          </a:r>
        </a:p>
        <a:p>
          <a:r>
            <a:rPr lang="da-D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forhold til drivhusgassen kuldioxid.</a:t>
          </a:r>
        </a:p>
        <a:p>
          <a:r>
            <a:rPr lang="da-D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FN’s klimapanel har fastlagt omregningsfaktorer for hver af de drivhusgasser, som beregnes i</a:t>
          </a:r>
        </a:p>
        <a:p>
          <a:r>
            <a:rPr lang="da-D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klimaregnskabet. Nedenfor er vist omregningsfaktorer for CO2, CH4 og N2O.</a:t>
          </a:r>
        </a:p>
        <a:p>
          <a:endParaRPr lang="da-DK" sz="1100"/>
        </a:p>
      </xdr:txBody>
    </xdr:sp>
    <xdr:clientData/>
  </xdr:oneCellAnchor>
  <xdr:twoCellAnchor editAs="oneCell">
    <xdr:from>
      <xdr:col>15</xdr:col>
      <xdr:colOff>771525</xdr:colOff>
      <xdr:row>51</xdr:row>
      <xdr:rowOff>1095375</xdr:rowOff>
    </xdr:from>
    <xdr:to>
      <xdr:col>15</xdr:col>
      <xdr:colOff>3056199</xdr:colOff>
      <xdr:row>51</xdr:row>
      <xdr:rowOff>1609725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186E235A-EF22-47F7-BAC2-B88A30166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92075" y="12868275"/>
          <a:ext cx="2284674" cy="5143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474643</xdr:colOff>
      <xdr:row>34</xdr:row>
      <xdr:rowOff>231775</xdr:rowOff>
    </xdr:from>
    <xdr:to>
      <xdr:col>14</xdr:col>
      <xdr:colOff>2766937</xdr:colOff>
      <xdr:row>34</xdr:row>
      <xdr:rowOff>790575</xdr:rowOff>
    </xdr:to>
    <xdr:pic>
      <xdr:nvPicPr>
        <xdr:cNvPr id="8" name="Billede 7">
          <a:extLst>
            <a:ext uri="{FF2B5EF4-FFF2-40B4-BE49-F238E27FC236}">
              <a16:creationId xmlns:a16="http://schemas.microsoft.com/office/drawing/2014/main" id="{DD8A5F74-C3F9-4799-A0BF-C95A626A5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14368" y="7156450"/>
          <a:ext cx="2292294" cy="558800"/>
        </a:xfrm>
        <a:prstGeom prst="rect">
          <a:avLst/>
        </a:prstGeom>
      </xdr:spPr>
    </xdr:pic>
    <xdr:clientData/>
  </xdr:twoCellAnchor>
  <xdr:oneCellAnchor>
    <xdr:from>
      <xdr:col>4</xdr:col>
      <xdr:colOff>0</xdr:colOff>
      <xdr:row>2</xdr:row>
      <xdr:rowOff>0</xdr:rowOff>
    </xdr:from>
    <xdr:ext cx="5884688" cy="1517082"/>
    <xdr:sp macro="" textlink="">
      <xdr:nvSpPr>
        <xdr:cNvPr id="9" name="Tekstfelt 8">
          <a:extLst>
            <a:ext uri="{FF2B5EF4-FFF2-40B4-BE49-F238E27FC236}">
              <a16:creationId xmlns:a16="http://schemas.microsoft.com/office/drawing/2014/main" id="{C286BCAE-5AC1-4E0B-9FB5-413D4AFF7C63}"/>
            </a:ext>
          </a:extLst>
        </xdr:cNvPr>
        <xdr:cNvSpPr txBox="1"/>
      </xdr:nvSpPr>
      <xdr:spPr>
        <a:xfrm>
          <a:off x="6324600" y="495300"/>
          <a:ext cx="5884688" cy="1517082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a-DK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Hvad er CO2-e?</a:t>
          </a:r>
        </a:p>
        <a:p>
          <a:r>
            <a:rPr lang="da-D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Drivhuspotentialet (også kaldet Global Warming Potential (GWP)) for kuldioxid sættes pr. definition</a:t>
          </a:r>
        </a:p>
        <a:p>
          <a:r>
            <a:rPr lang="da-D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til 1. Drivhuspotentialet for de øvrige drivhusgasser omregnes til CO2 ækvivalenter (CO2e).</a:t>
          </a:r>
        </a:p>
        <a:p>
          <a:r>
            <a:rPr lang="da-D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CO2e er et mål for hvor meget, de øvrige drivhusgasser bidrager til den globale opvarmning i</a:t>
          </a:r>
        </a:p>
        <a:p>
          <a:r>
            <a:rPr lang="da-D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forhold til drivhusgassen kuldioxid.</a:t>
          </a:r>
        </a:p>
        <a:p>
          <a:r>
            <a:rPr lang="da-D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FN’s klimapanel har fastlagt omregningsfaktorer for hver af de drivhusgasser, som beregnes i</a:t>
          </a:r>
        </a:p>
        <a:p>
          <a:r>
            <a:rPr lang="da-D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klimaregnskabet. Nedenfor er vist omregningsfaktorer for CO2, CH4 og N2O.</a:t>
          </a:r>
        </a:p>
        <a:p>
          <a:endParaRPr lang="da-DK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571500</xdr:colOff>
      <xdr:row>20</xdr:row>
      <xdr:rowOff>171450</xdr:rowOff>
    </xdr:from>
    <xdr:to>
      <xdr:col>20</xdr:col>
      <xdr:colOff>2674198</xdr:colOff>
      <xdr:row>20</xdr:row>
      <xdr:rowOff>1635044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FDDAE792-7941-40F5-80FC-DBEEFC9DD4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97900" y="5953125"/>
          <a:ext cx="2102698" cy="1463594"/>
        </a:xfrm>
        <a:prstGeom prst="rect">
          <a:avLst/>
        </a:prstGeom>
      </xdr:spPr>
    </xdr:pic>
    <xdr:clientData/>
  </xdr:twoCellAnchor>
  <xdr:twoCellAnchor>
    <xdr:from>
      <xdr:col>19</xdr:col>
      <xdr:colOff>114300</xdr:colOff>
      <xdr:row>32</xdr:row>
      <xdr:rowOff>76201</xdr:rowOff>
    </xdr:from>
    <xdr:to>
      <xdr:col>24</xdr:col>
      <xdr:colOff>518432</xdr:colOff>
      <xdr:row>35</xdr:row>
      <xdr:rowOff>155123</xdr:rowOff>
    </xdr:to>
    <xdr:grpSp>
      <xdr:nvGrpSpPr>
        <xdr:cNvPr id="66" name="Gruppe 3">
          <a:extLst>
            <a:ext uri="{FF2B5EF4-FFF2-40B4-BE49-F238E27FC236}">
              <a16:creationId xmlns:a16="http://schemas.microsoft.com/office/drawing/2014/main" id="{6A8C3FA1-A79B-4457-B136-7C2E3E9AEDED}"/>
            </a:ext>
          </a:extLst>
        </xdr:cNvPr>
        <xdr:cNvGrpSpPr>
          <a:grpSpLocks/>
        </xdr:cNvGrpSpPr>
      </xdr:nvGrpSpPr>
      <xdr:grpSpPr bwMode="auto">
        <a:xfrm>
          <a:off x="14409420" y="8191501"/>
          <a:ext cx="6004832" cy="635182"/>
          <a:chOff x="12495439" y="13596257"/>
          <a:chExt cx="5783036" cy="704850"/>
        </a:xfrm>
      </xdr:grpSpPr>
      <xdr:pic>
        <xdr:nvPicPr>
          <xdr:cNvPr id="67" name="Picture 9" descr="RM's logo">
            <a:extLst>
              <a:ext uri="{FF2B5EF4-FFF2-40B4-BE49-F238E27FC236}">
                <a16:creationId xmlns:a16="http://schemas.microsoft.com/office/drawing/2014/main" id="{785A084D-4F05-430C-AF1E-672CBC44819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2495439" y="13596257"/>
            <a:ext cx="5783036" cy="7048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68" name="Billede 0" descr="logo.wmf">
            <a:extLst>
              <a:ext uri="{FF2B5EF4-FFF2-40B4-BE49-F238E27FC236}">
                <a16:creationId xmlns:a16="http://schemas.microsoft.com/office/drawing/2014/main" id="{C96ED19F-D5EB-4E82-A1DE-39D5CDDD947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12928146" y="13824857"/>
            <a:ext cx="17907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oneCellAnchor>
    <xdr:from>
      <xdr:col>6</xdr:col>
      <xdr:colOff>0</xdr:colOff>
      <xdr:row>3</xdr:row>
      <xdr:rowOff>0</xdr:rowOff>
    </xdr:from>
    <xdr:ext cx="5884688" cy="1517082"/>
    <xdr:sp macro="" textlink="">
      <xdr:nvSpPr>
        <xdr:cNvPr id="69" name="Tekstfelt 68">
          <a:extLst>
            <a:ext uri="{FF2B5EF4-FFF2-40B4-BE49-F238E27FC236}">
              <a16:creationId xmlns:a16="http://schemas.microsoft.com/office/drawing/2014/main" id="{23EC5FDC-E8BC-40C2-B300-A1B65E94AB9F}"/>
            </a:ext>
          </a:extLst>
        </xdr:cNvPr>
        <xdr:cNvSpPr txBox="1"/>
      </xdr:nvSpPr>
      <xdr:spPr>
        <a:xfrm>
          <a:off x="6248400" y="695325"/>
          <a:ext cx="5884688" cy="1517082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a-DK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Hvad er CO2-e?</a:t>
          </a:r>
        </a:p>
        <a:p>
          <a:r>
            <a:rPr lang="da-D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Drivhuspotentialet (også kaldet Global Warming Potential (GWP)) for kuldioxid sættes pr. definition</a:t>
          </a:r>
        </a:p>
        <a:p>
          <a:r>
            <a:rPr lang="da-D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til 1. Drivhuspotentialet for de øvrige drivhusgasser omregnes til CO2 ækvivalenter (CO2e).</a:t>
          </a:r>
        </a:p>
        <a:p>
          <a:r>
            <a:rPr lang="da-D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CO2e er et mål for hvor meget, de øvrige drivhusgasser bidrager til den globale opvarmning i</a:t>
          </a:r>
        </a:p>
        <a:p>
          <a:r>
            <a:rPr lang="da-D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forhold til drivhusgassen kuldioxid.</a:t>
          </a:r>
        </a:p>
        <a:p>
          <a:r>
            <a:rPr lang="da-D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FN’s klimapanel har fastlagt omregningsfaktorer for hver af de drivhusgasser, som beregnes i</a:t>
          </a:r>
        </a:p>
        <a:p>
          <a:r>
            <a:rPr lang="da-D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klimaregnskabet. Nedenfor er vist omregningsfaktorer for CO2, CH4 og N2O.</a:t>
          </a:r>
        </a:p>
        <a:p>
          <a:endParaRPr lang="da-DK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571500</xdr:colOff>
      <xdr:row>20</xdr:row>
      <xdr:rowOff>171450</xdr:rowOff>
    </xdr:from>
    <xdr:to>
      <xdr:col>20</xdr:col>
      <xdr:colOff>2674198</xdr:colOff>
      <xdr:row>20</xdr:row>
      <xdr:rowOff>1635044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19A427D6-1D3C-4B92-BA99-C415EFE71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300" y="4657725"/>
          <a:ext cx="2102698" cy="1463594"/>
        </a:xfrm>
        <a:prstGeom prst="rect">
          <a:avLst/>
        </a:prstGeom>
      </xdr:spPr>
    </xdr:pic>
    <xdr:clientData/>
  </xdr:twoCellAnchor>
  <xdr:twoCellAnchor>
    <xdr:from>
      <xdr:col>19</xdr:col>
      <xdr:colOff>114300</xdr:colOff>
      <xdr:row>32</xdr:row>
      <xdr:rowOff>76201</xdr:rowOff>
    </xdr:from>
    <xdr:to>
      <xdr:col>24</xdr:col>
      <xdr:colOff>518432</xdr:colOff>
      <xdr:row>35</xdr:row>
      <xdr:rowOff>155123</xdr:rowOff>
    </xdr:to>
    <xdr:grpSp>
      <xdr:nvGrpSpPr>
        <xdr:cNvPr id="3" name="Gruppe 3">
          <a:extLst>
            <a:ext uri="{FF2B5EF4-FFF2-40B4-BE49-F238E27FC236}">
              <a16:creationId xmlns:a16="http://schemas.microsoft.com/office/drawing/2014/main" id="{C6F2D408-6302-4919-85F5-79F07D9370C1}"/>
            </a:ext>
          </a:extLst>
        </xdr:cNvPr>
        <xdr:cNvGrpSpPr>
          <a:grpSpLocks/>
        </xdr:cNvGrpSpPr>
      </xdr:nvGrpSpPr>
      <xdr:grpSpPr bwMode="auto">
        <a:xfrm>
          <a:off x="14409420" y="8191501"/>
          <a:ext cx="6004832" cy="635182"/>
          <a:chOff x="12495439" y="13596257"/>
          <a:chExt cx="5783036" cy="704850"/>
        </a:xfrm>
      </xdr:grpSpPr>
      <xdr:pic>
        <xdr:nvPicPr>
          <xdr:cNvPr id="4" name="Picture 9" descr="RM's logo">
            <a:extLst>
              <a:ext uri="{FF2B5EF4-FFF2-40B4-BE49-F238E27FC236}">
                <a16:creationId xmlns:a16="http://schemas.microsoft.com/office/drawing/2014/main" id="{1B1EDE4E-AA1D-4AC7-93EC-F6B2C170F1D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2495439" y="13596257"/>
            <a:ext cx="5783036" cy="7048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5" name="Billede 0" descr="logo.wmf">
            <a:extLst>
              <a:ext uri="{FF2B5EF4-FFF2-40B4-BE49-F238E27FC236}">
                <a16:creationId xmlns:a16="http://schemas.microsoft.com/office/drawing/2014/main" id="{AC73245C-E2FC-438B-B75D-DF56352724F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12928146" y="13824857"/>
            <a:ext cx="17907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oneCellAnchor>
    <xdr:from>
      <xdr:col>6</xdr:col>
      <xdr:colOff>0</xdr:colOff>
      <xdr:row>2</xdr:row>
      <xdr:rowOff>0</xdr:rowOff>
    </xdr:from>
    <xdr:ext cx="5884688" cy="1517082"/>
    <xdr:sp macro="" textlink="">
      <xdr:nvSpPr>
        <xdr:cNvPr id="6" name="Tekstfelt 5">
          <a:extLst>
            <a:ext uri="{FF2B5EF4-FFF2-40B4-BE49-F238E27FC236}">
              <a16:creationId xmlns:a16="http://schemas.microsoft.com/office/drawing/2014/main" id="{3418DEA9-0F91-44DE-AC6E-474B8AD47159}"/>
            </a:ext>
          </a:extLst>
        </xdr:cNvPr>
        <xdr:cNvSpPr txBox="1"/>
      </xdr:nvSpPr>
      <xdr:spPr>
        <a:xfrm>
          <a:off x="6248400" y="495300"/>
          <a:ext cx="5884688" cy="1517082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a-DK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Hvad er CO2-e?</a:t>
          </a:r>
        </a:p>
        <a:p>
          <a:r>
            <a:rPr lang="da-D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Drivhuspotentialet (også kaldet Global Warming Potential (GWP)) for kuldioxid sættes pr. definition</a:t>
          </a:r>
        </a:p>
        <a:p>
          <a:r>
            <a:rPr lang="da-D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til 1. Drivhuspotentialet for de øvrige drivhusgasser omregnes til CO2 ækvivalenter (CO2e).</a:t>
          </a:r>
        </a:p>
        <a:p>
          <a:r>
            <a:rPr lang="da-D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CO2e er et mål for hvor meget, de øvrige drivhusgasser bidrager til den globale opvarmning i</a:t>
          </a:r>
        </a:p>
        <a:p>
          <a:r>
            <a:rPr lang="da-D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forhold til drivhusgassen kuldioxid.</a:t>
          </a:r>
        </a:p>
        <a:p>
          <a:r>
            <a:rPr lang="da-D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FN’s klimapanel har fastlagt omregningsfaktorer for hver af de drivhusgasser, som beregnes i</a:t>
          </a:r>
        </a:p>
        <a:p>
          <a:r>
            <a:rPr lang="da-D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klimaregnskabet. Nedenfor er vist omregningsfaktorer for CO2, CH4 og N2O.</a:t>
          </a:r>
        </a:p>
        <a:p>
          <a:endParaRPr lang="da-DK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558800</xdr:colOff>
      <xdr:row>87</xdr:row>
      <xdr:rowOff>12700</xdr:rowOff>
    </xdr:from>
    <xdr:to>
      <xdr:col>29</xdr:col>
      <xdr:colOff>378732</xdr:colOff>
      <xdr:row>87</xdr:row>
      <xdr:rowOff>758372</xdr:rowOff>
    </xdr:to>
    <xdr:grpSp>
      <xdr:nvGrpSpPr>
        <xdr:cNvPr id="2" name="Gruppe 3">
          <a:extLst>
            <a:ext uri="{FF2B5EF4-FFF2-40B4-BE49-F238E27FC236}">
              <a16:creationId xmlns:a16="http://schemas.microsoft.com/office/drawing/2014/main" id="{EF43D03A-13E8-4AFC-8D48-D46732B80C2B}"/>
            </a:ext>
          </a:extLst>
        </xdr:cNvPr>
        <xdr:cNvGrpSpPr>
          <a:grpSpLocks/>
        </xdr:cNvGrpSpPr>
      </xdr:nvGrpSpPr>
      <xdr:grpSpPr bwMode="auto">
        <a:xfrm>
          <a:off x="11836400" y="18704891"/>
          <a:ext cx="5551497" cy="745672"/>
          <a:chOff x="12495439" y="13596257"/>
          <a:chExt cx="5783036" cy="704850"/>
        </a:xfrm>
      </xdr:grpSpPr>
      <xdr:pic>
        <xdr:nvPicPr>
          <xdr:cNvPr id="3" name="Picture 9" descr="RM's logo">
            <a:extLst>
              <a:ext uri="{FF2B5EF4-FFF2-40B4-BE49-F238E27FC236}">
                <a16:creationId xmlns:a16="http://schemas.microsoft.com/office/drawing/2014/main" id="{B63EB222-5FC2-4B2C-AD66-D8DC99EFD8A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2495439" y="13596257"/>
            <a:ext cx="5783036" cy="7048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Billede 0" descr="logo.wmf">
            <a:extLst>
              <a:ext uri="{FF2B5EF4-FFF2-40B4-BE49-F238E27FC236}">
                <a16:creationId xmlns:a16="http://schemas.microsoft.com/office/drawing/2014/main" id="{79A46FC8-EE9D-4AA2-8B34-D62CDFE4415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2928146" y="13824857"/>
            <a:ext cx="17907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24</xdr:col>
      <xdr:colOff>0</xdr:colOff>
      <xdr:row>87</xdr:row>
      <xdr:rowOff>0</xdr:rowOff>
    </xdr:from>
    <xdr:to>
      <xdr:col>29</xdr:col>
      <xdr:colOff>404132</xdr:colOff>
      <xdr:row>87</xdr:row>
      <xdr:rowOff>745672</xdr:rowOff>
    </xdr:to>
    <xdr:grpSp>
      <xdr:nvGrpSpPr>
        <xdr:cNvPr id="5" name="Gruppe 3">
          <a:extLst>
            <a:ext uri="{FF2B5EF4-FFF2-40B4-BE49-F238E27FC236}">
              <a16:creationId xmlns:a16="http://schemas.microsoft.com/office/drawing/2014/main" id="{C4BF5409-7811-4268-A9C8-3084084D1F21}"/>
            </a:ext>
          </a:extLst>
        </xdr:cNvPr>
        <xdr:cNvGrpSpPr>
          <a:grpSpLocks/>
        </xdr:cNvGrpSpPr>
      </xdr:nvGrpSpPr>
      <xdr:grpSpPr bwMode="auto">
        <a:xfrm>
          <a:off x="11873948" y="18692191"/>
          <a:ext cx="5539349" cy="745672"/>
          <a:chOff x="12495439" y="13596257"/>
          <a:chExt cx="5783036" cy="704850"/>
        </a:xfrm>
      </xdr:grpSpPr>
      <xdr:pic>
        <xdr:nvPicPr>
          <xdr:cNvPr id="6" name="Picture 9" descr="RM's logo">
            <a:extLst>
              <a:ext uri="{FF2B5EF4-FFF2-40B4-BE49-F238E27FC236}">
                <a16:creationId xmlns:a16="http://schemas.microsoft.com/office/drawing/2014/main" id="{C564C4E9-6531-497B-BA18-14817DFBAFD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2495439" y="13596257"/>
            <a:ext cx="5783036" cy="7048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7" name="Billede 0" descr="logo.wmf">
            <a:extLst>
              <a:ext uri="{FF2B5EF4-FFF2-40B4-BE49-F238E27FC236}">
                <a16:creationId xmlns:a16="http://schemas.microsoft.com/office/drawing/2014/main" id="{DBFB3F54-5A1F-423E-8132-BD76B21A9E9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2928146" y="13824857"/>
            <a:ext cx="17907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24</xdr:col>
      <xdr:colOff>0</xdr:colOff>
      <xdr:row>87</xdr:row>
      <xdr:rowOff>0</xdr:rowOff>
    </xdr:from>
    <xdr:to>
      <xdr:col>29</xdr:col>
      <xdr:colOff>404132</xdr:colOff>
      <xdr:row>87</xdr:row>
      <xdr:rowOff>745672</xdr:rowOff>
    </xdr:to>
    <xdr:grpSp>
      <xdr:nvGrpSpPr>
        <xdr:cNvPr id="8" name="Gruppe 3">
          <a:extLst>
            <a:ext uri="{FF2B5EF4-FFF2-40B4-BE49-F238E27FC236}">
              <a16:creationId xmlns:a16="http://schemas.microsoft.com/office/drawing/2014/main" id="{E35D9FA0-DE2E-46F7-841C-1647480316DE}"/>
            </a:ext>
          </a:extLst>
        </xdr:cNvPr>
        <xdr:cNvGrpSpPr>
          <a:grpSpLocks/>
        </xdr:cNvGrpSpPr>
      </xdr:nvGrpSpPr>
      <xdr:grpSpPr bwMode="auto">
        <a:xfrm>
          <a:off x="11873948" y="18692191"/>
          <a:ext cx="5539349" cy="745672"/>
          <a:chOff x="12495439" y="13596257"/>
          <a:chExt cx="5783036" cy="704850"/>
        </a:xfrm>
      </xdr:grpSpPr>
      <xdr:pic>
        <xdr:nvPicPr>
          <xdr:cNvPr id="9" name="Picture 9" descr="RM's logo">
            <a:extLst>
              <a:ext uri="{FF2B5EF4-FFF2-40B4-BE49-F238E27FC236}">
                <a16:creationId xmlns:a16="http://schemas.microsoft.com/office/drawing/2014/main" id="{89F994B4-1CA3-4ED4-AEEC-068E139E2A5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2495439" y="13596257"/>
            <a:ext cx="5783036" cy="7048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" name="Billede 0" descr="logo.wmf">
            <a:extLst>
              <a:ext uri="{FF2B5EF4-FFF2-40B4-BE49-F238E27FC236}">
                <a16:creationId xmlns:a16="http://schemas.microsoft.com/office/drawing/2014/main" id="{3D297F20-929D-4FDD-8AE1-60EA38ECABE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2928146" y="13824857"/>
            <a:ext cx="17907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24</xdr:col>
      <xdr:colOff>0</xdr:colOff>
      <xdr:row>87</xdr:row>
      <xdr:rowOff>0</xdr:rowOff>
    </xdr:from>
    <xdr:to>
      <xdr:col>29</xdr:col>
      <xdr:colOff>404132</xdr:colOff>
      <xdr:row>87</xdr:row>
      <xdr:rowOff>745672</xdr:rowOff>
    </xdr:to>
    <xdr:grpSp>
      <xdr:nvGrpSpPr>
        <xdr:cNvPr id="11" name="Gruppe 3">
          <a:extLst>
            <a:ext uri="{FF2B5EF4-FFF2-40B4-BE49-F238E27FC236}">
              <a16:creationId xmlns:a16="http://schemas.microsoft.com/office/drawing/2014/main" id="{27693281-7941-467B-A2D5-C8331A0368AC}"/>
            </a:ext>
          </a:extLst>
        </xdr:cNvPr>
        <xdr:cNvGrpSpPr>
          <a:grpSpLocks/>
        </xdr:cNvGrpSpPr>
      </xdr:nvGrpSpPr>
      <xdr:grpSpPr bwMode="auto">
        <a:xfrm>
          <a:off x="11873948" y="18692191"/>
          <a:ext cx="5539349" cy="745672"/>
          <a:chOff x="12495439" y="13596257"/>
          <a:chExt cx="5783036" cy="704850"/>
        </a:xfrm>
      </xdr:grpSpPr>
      <xdr:pic>
        <xdr:nvPicPr>
          <xdr:cNvPr id="12" name="Picture 9" descr="RM's logo">
            <a:extLst>
              <a:ext uri="{FF2B5EF4-FFF2-40B4-BE49-F238E27FC236}">
                <a16:creationId xmlns:a16="http://schemas.microsoft.com/office/drawing/2014/main" id="{83B034BE-20D2-42B8-AAC0-FFBF63F9ED4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2495439" y="13596257"/>
            <a:ext cx="5783036" cy="7048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3" name="Billede 0" descr="logo.wmf">
            <a:extLst>
              <a:ext uri="{FF2B5EF4-FFF2-40B4-BE49-F238E27FC236}">
                <a16:creationId xmlns:a16="http://schemas.microsoft.com/office/drawing/2014/main" id="{9B7F43A1-3A8D-4764-8012-BF90F7E62A3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2928146" y="13824857"/>
            <a:ext cx="17907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 editAs="oneCell">
    <xdr:from>
      <xdr:col>24</xdr:col>
      <xdr:colOff>704850</xdr:colOff>
      <xdr:row>6</xdr:row>
      <xdr:rowOff>447675</xdr:rowOff>
    </xdr:from>
    <xdr:to>
      <xdr:col>24</xdr:col>
      <xdr:colOff>2807548</xdr:colOff>
      <xdr:row>6</xdr:row>
      <xdr:rowOff>1463594</xdr:rowOff>
    </xdr:to>
    <xdr:pic>
      <xdr:nvPicPr>
        <xdr:cNvPr id="14" name="Billede 13">
          <a:extLst>
            <a:ext uri="{FF2B5EF4-FFF2-40B4-BE49-F238E27FC236}">
              <a16:creationId xmlns:a16="http://schemas.microsoft.com/office/drawing/2014/main" id="{5028D7B3-DDC4-4D8F-8118-0057D085FC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39625" y="1590675"/>
          <a:ext cx="2102698" cy="1015919"/>
        </a:xfrm>
        <a:prstGeom prst="rect">
          <a:avLst/>
        </a:prstGeom>
      </xdr:spPr>
    </xdr:pic>
    <xdr:clientData/>
  </xdr:twoCellAnchor>
  <xdr:twoCellAnchor>
    <xdr:from>
      <xdr:col>24</xdr:col>
      <xdr:colOff>0</xdr:colOff>
      <xdr:row>87</xdr:row>
      <xdr:rowOff>0</xdr:rowOff>
    </xdr:from>
    <xdr:to>
      <xdr:col>29</xdr:col>
      <xdr:colOff>404132</xdr:colOff>
      <xdr:row>87</xdr:row>
      <xdr:rowOff>745672</xdr:rowOff>
    </xdr:to>
    <xdr:grpSp>
      <xdr:nvGrpSpPr>
        <xdr:cNvPr id="15" name="Gruppe 3">
          <a:extLst>
            <a:ext uri="{FF2B5EF4-FFF2-40B4-BE49-F238E27FC236}">
              <a16:creationId xmlns:a16="http://schemas.microsoft.com/office/drawing/2014/main" id="{293E1380-AC44-42F2-BAEE-5B3443ADE382}"/>
            </a:ext>
          </a:extLst>
        </xdr:cNvPr>
        <xdr:cNvGrpSpPr>
          <a:grpSpLocks/>
        </xdr:cNvGrpSpPr>
      </xdr:nvGrpSpPr>
      <xdr:grpSpPr bwMode="auto">
        <a:xfrm>
          <a:off x="11873948" y="18692191"/>
          <a:ext cx="5539349" cy="745672"/>
          <a:chOff x="12495439" y="13596257"/>
          <a:chExt cx="5783036" cy="704850"/>
        </a:xfrm>
      </xdr:grpSpPr>
      <xdr:pic>
        <xdr:nvPicPr>
          <xdr:cNvPr id="16" name="Picture 9" descr="RM's logo">
            <a:extLst>
              <a:ext uri="{FF2B5EF4-FFF2-40B4-BE49-F238E27FC236}">
                <a16:creationId xmlns:a16="http://schemas.microsoft.com/office/drawing/2014/main" id="{578934D4-40AC-4A49-A108-2A7CB73B851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2495439" y="13596257"/>
            <a:ext cx="5783036" cy="7048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7" name="Billede 0" descr="logo.wmf">
            <a:extLst>
              <a:ext uri="{FF2B5EF4-FFF2-40B4-BE49-F238E27FC236}">
                <a16:creationId xmlns:a16="http://schemas.microsoft.com/office/drawing/2014/main" id="{249414F6-37F3-4D73-BE0A-643BE2CDEF2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2928146" y="13824857"/>
            <a:ext cx="17907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24</xdr:col>
      <xdr:colOff>0</xdr:colOff>
      <xdr:row>87</xdr:row>
      <xdr:rowOff>0</xdr:rowOff>
    </xdr:from>
    <xdr:to>
      <xdr:col>29</xdr:col>
      <xdr:colOff>404132</xdr:colOff>
      <xdr:row>87</xdr:row>
      <xdr:rowOff>745672</xdr:rowOff>
    </xdr:to>
    <xdr:grpSp>
      <xdr:nvGrpSpPr>
        <xdr:cNvPr id="18" name="Gruppe 3">
          <a:extLst>
            <a:ext uri="{FF2B5EF4-FFF2-40B4-BE49-F238E27FC236}">
              <a16:creationId xmlns:a16="http://schemas.microsoft.com/office/drawing/2014/main" id="{C04EC0C8-2A31-4424-AB9A-05250C27766C}"/>
            </a:ext>
          </a:extLst>
        </xdr:cNvPr>
        <xdr:cNvGrpSpPr>
          <a:grpSpLocks/>
        </xdr:cNvGrpSpPr>
      </xdr:nvGrpSpPr>
      <xdr:grpSpPr bwMode="auto">
        <a:xfrm>
          <a:off x="11873948" y="18692191"/>
          <a:ext cx="5539349" cy="745672"/>
          <a:chOff x="12495439" y="13596257"/>
          <a:chExt cx="5783036" cy="704850"/>
        </a:xfrm>
      </xdr:grpSpPr>
      <xdr:pic>
        <xdr:nvPicPr>
          <xdr:cNvPr id="19" name="Picture 9" descr="RM's logo">
            <a:extLst>
              <a:ext uri="{FF2B5EF4-FFF2-40B4-BE49-F238E27FC236}">
                <a16:creationId xmlns:a16="http://schemas.microsoft.com/office/drawing/2014/main" id="{C661FA20-6222-4308-B741-F5BAF3FCD86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2495439" y="13596257"/>
            <a:ext cx="5783036" cy="7048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20" name="Billede 0" descr="logo.wmf">
            <a:extLst>
              <a:ext uri="{FF2B5EF4-FFF2-40B4-BE49-F238E27FC236}">
                <a16:creationId xmlns:a16="http://schemas.microsoft.com/office/drawing/2014/main" id="{651A577C-80F8-4651-99C4-DC56B54EAEA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2928146" y="13824857"/>
            <a:ext cx="17907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24</xdr:col>
      <xdr:colOff>0</xdr:colOff>
      <xdr:row>87</xdr:row>
      <xdr:rowOff>0</xdr:rowOff>
    </xdr:from>
    <xdr:to>
      <xdr:col>29</xdr:col>
      <xdr:colOff>404132</xdr:colOff>
      <xdr:row>87</xdr:row>
      <xdr:rowOff>745672</xdr:rowOff>
    </xdr:to>
    <xdr:grpSp>
      <xdr:nvGrpSpPr>
        <xdr:cNvPr id="21" name="Gruppe 3">
          <a:extLst>
            <a:ext uri="{FF2B5EF4-FFF2-40B4-BE49-F238E27FC236}">
              <a16:creationId xmlns:a16="http://schemas.microsoft.com/office/drawing/2014/main" id="{77557066-59F4-45FA-AA2F-AB0A85CBFA8D}"/>
            </a:ext>
          </a:extLst>
        </xdr:cNvPr>
        <xdr:cNvGrpSpPr>
          <a:grpSpLocks/>
        </xdr:cNvGrpSpPr>
      </xdr:nvGrpSpPr>
      <xdr:grpSpPr bwMode="auto">
        <a:xfrm>
          <a:off x="11873948" y="18692191"/>
          <a:ext cx="5539349" cy="745672"/>
          <a:chOff x="12495439" y="13596257"/>
          <a:chExt cx="5783036" cy="704850"/>
        </a:xfrm>
      </xdr:grpSpPr>
      <xdr:pic>
        <xdr:nvPicPr>
          <xdr:cNvPr id="22" name="Picture 9" descr="RM's logo">
            <a:extLst>
              <a:ext uri="{FF2B5EF4-FFF2-40B4-BE49-F238E27FC236}">
                <a16:creationId xmlns:a16="http://schemas.microsoft.com/office/drawing/2014/main" id="{D7D27368-1F19-4AF7-B9D8-21F4556125C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2495439" y="13596257"/>
            <a:ext cx="5783036" cy="7048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23" name="Billede 0" descr="logo.wmf">
            <a:extLst>
              <a:ext uri="{FF2B5EF4-FFF2-40B4-BE49-F238E27FC236}">
                <a16:creationId xmlns:a16="http://schemas.microsoft.com/office/drawing/2014/main" id="{BA0628CD-5F9C-481B-A76A-D9F9B2D820D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2928146" y="13824857"/>
            <a:ext cx="17907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24</xdr:col>
      <xdr:colOff>0</xdr:colOff>
      <xdr:row>87</xdr:row>
      <xdr:rowOff>0</xdr:rowOff>
    </xdr:from>
    <xdr:to>
      <xdr:col>29</xdr:col>
      <xdr:colOff>404132</xdr:colOff>
      <xdr:row>87</xdr:row>
      <xdr:rowOff>745672</xdr:rowOff>
    </xdr:to>
    <xdr:grpSp>
      <xdr:nvGrpSpPr>
        <xdr:cNvPr id="24" name="Gruppe 3">
          <a:extLst>
            <a:ext uri="{FF2B5EF4-FFF2-40B4-BE49-F238E27FC236}">
              <a16:creationId xmlns:a16="http://schemas.microsoft.com/office/drawing/2014/main" id="{09278B27-62B0-47F5-995E-A31B59A379E8}"/>
            </a:ext>
          </a:extLst>
        </xdr:cNvPr>
        <xdr:cNvGrpSpPr>
          <a:grpSpLocks/>
        </xdr:cNvGrpSpPr>
      </xdr:nvGrpSpPr>
      <xdr:grpSpPr bwMode="auto">
        <a:xfrm>
          <a:off x="11873948" y="18692191"/>
          <a:ext cx="5539349" cy="745672"/>
          <a:chOff x="12495439" y="13596257"/>
          <a:chExt cx="5783036" cy="704850"/>
        </a:xfrm>
      </xdr:grpSpPr>
      <xdr:pic>
        <xdr:nvPicPr>
          <xdr:cNvPr id="25" name="Picture 9" descr="RM's logo">
            <a:extLst>
              <a:ext uri="{FF2B5EF4-FFF2-40B4-BE49-F238E27FC236}">
                <a16:creationId xmlns:a16="http://schemas.microsoft.com/office/drawing/2014/main" id="{9ED966CD-F8BF-4E55-93B9-CD2E926B511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2495439" y="13596257"/>
            <a:ext cx="5783036" cy="7048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26" name="Billede 0" descr="logo.wmf">
            <a:extLst>
              <a:ext uri="{FF2B5EF4-FFF2-40B4-BE49-F238E27FC236}">
                <a16:creationId xmlns:a16="http://schemas.microsoft.com/office/drawing/2014/main" id="{82395CFA-40D9-463F-ACC4-2658CFBDA4F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2928146" y="13824857"/>
            <a:ext cx="17907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24</xdr:col>
      <xdr:colOff>0</xdr:colOff>
      <xdr:row>87</xdr:row>
      <xdr:rowOff>0</xdr:rowOff>
    </xdr:from>
    <xdr:to>
      <xdr:col>29</xdr:col>
      <xdr:colOff>404132</xdr:colOff>
      <xdr:row>87</xdr:row>
      <xdr:rowOff>745672</xdr:rowOff>
    </xdr:to>
    <xdr:grpSp>
      <xdr:nvGrpSpPr>
        <xdr:cNvPr id="27" name="Gruppe 3">
          <a:extLst>
            <a:ext uri="{FF2B5EF4-FFF2-40B4-BE49-F238E27FC236}">
              <a16:creationId xmlns:a16="http://schemas.microsoft.com/office/drawing/2014/main" id="{7299BE07-4084-420F-9FD7-24FFD79E1457}"/>
            </a:ext>
          </a:extLst>
        </xdr:cNvPr>
        <xdr:cNvGrpSpPr>
          <a:grpSpLocks/>
        </xdr:cNvGrpSpPr>
      </xdr:nvGrpSpPr>
      <xdr:grpSpPr bwMode="auto">
        <a:xfrm>
          <a:off x="11873948" y="18692191"/>
          <a:ext cx="5539349" cy="745672"/>
          <a:chOff x="12495439" y="13596257"/>
          <a:chExt cx="5783036" cy="704850"/>
        </a:xfrm>
      </xdr:grpSpPr>
      <xdr:pic>
        <xdr:nvPicPr>
          <xdr:cNvPr id="28" name="Picture 9" descr="RM's logo">
            <a:extLst>
              <a:ext uri="{FF2B5EF4-FFF2-40B4-BE49-F238E27FC236}">
                <a16:creationId xmlns:a16="http://schemas.microsoft.com/office/drawing/2014/main" id="{A0D36AC1-F4B1-4518-B55A-C4CC64E5AFA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2495439" y="13596257"/>
            <a:ext cx="5783036" cy="7048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29" name="Billede 0" descr="logo.wmf">
            <a:extLst>
              <a:ext uri="{FF2B5EF4-FFF2-40B4-BE49-F238E27FC236}">
                <a16:creationId xmlns:a16="http://schemas.microsoft.com/office/drawing/2014/main" id="{D905E97E-1AAD-4E29-8076-8D9C452C224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2928146" y="13824857"/>
            <a:ext cx="17907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24</xdr:col>
      <xdr:colOff>0</xdr:colOff>
      <xdr:row>87</xdr:row>
      <xdr:rowOff>0</xdr:rowOff>
    </xdr:from>
    <xdr:to>
      <xdr:col>29</xdr:col>
      <xdr:colOff>404132</xdr:colOff>
      <xdr:row>87</xdr:row>
      <xdr:rowOff>745672</xdr:rowOff>
    </xdr:to>
    <xdr:grpSp>
      <xdr:nvGrpSpPr>
        <xdr:cNvPr id="30" name="Gruppe 3">
          <a:extLst>
            <a:ext uri="{FF2B5EF4-FFF2-40B4-BE49-F238E27FC236}">
              <a16:creationId xmlns:a16="http://schemas.microsoft.com/office/drawing/2014/main" id="{7FCCA918-04FB-48BC-B7B5-06EB168D0BF0}"/>
            </a:ext>
          </a:extLst>
        </xdr:cNvPr>
        <xdr:cNvGrpSpPr>
          <a:grpSpLocks/>
        </xdr:cNvGrpSpPr>
      </xdr:nvGrpSpPr>
      <xdr:grpSpPr bwMode="auto">
        <a:xfrm>
          <a:off x="11873948" y="18692191"/>
          <a:ext cx="5539349" cy="745672"/>
          <a:chOff x="12495439" y="13596257"/>
          <a:chExt cx="5783036" cy="704850"/>
        </a:xfrm>
      </xdr:grpSpPr>
      <xdr:pic>
        <xdr:nvPicPr>
          <xdr:cNvPr id="31" name="Picture 9" descr="RM's logo">
            <a:extLst>
              <a:ext uri="{FF2B5EF4-FFF2-40B4-BE49-F238E27FC236}">
                <a16:creationId xmlns:a16="http://schemas.microsoft.com/office/drawing/2014/main" id="{2D74AFF1-578B-465F-9F6F-C7A734994D0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2495439" y="13596257"/>
            <a:ext cx="5783036" cy="7048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2" name="Billede 0" descr="logo.wmf">
            <a:extLst>
              <a:ext uri="{FF2B5EF4-FFF2-40B4-BE49-F238E27FC236}">
                <a16:creationId xmlns:a16="http://schemas.microsoft.com/office/drawing/2014/main" id="{49D18F4F-D634-4F67-8151-A5E14A60741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2928146" y="13824857"/>
            <a:ext cx="17907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24</xdr:col>
      <xdr:colOff>0</xdr:colOff>
      <xdr:row>87</xdr:row>
      <xdr:rowOff>0</xdr:rowOff>
    </xdr:from>
    <xdr:to>
      <xdr:col>29</xdr:col>
      <xdr:colOff>404132</xdr:colOff>
      <xdr:row>87</xdr:row>
      <xdr:rowOff>745672</xdr:rowOff>
    </xdr:to>
    <xdr:grpSp>
      <xdr:nvGrpSpPr>
        <xdr:cNvPr id="33" name="Gruppe 3">
          <a:extLst>
            <a:ext uri="{FF2B5EF4-FFF2-40B4-BE49-F238E27FC236}">
              <a16:creationId xmlns:a16="http://schemas.microsoft.com/office/drawing/2014/main" id="{E352380A-C422-43A1-BA5F-3872BEB1E648}"/>
            </a:ext>
          </a:extLst>
        </xdr:cNvPr>
        <xdr:cNvGrpSpPr>
          <a:grpSpLocks/>
        </xdr:cNvGrpSpPr>
      </xdr:nvGrpSpPr>
      <xdr:grpSpPr bwMode="auto">
        <a:xfrm>
          <a:off x="11873948" y="18692191"/>
          <a:ext cx="5539349" cy="745672"/>
          <a:chOff x="12495439" y="13596257"/>
          <a:chExt cx="5783036" cy="704850"/>
        </a:xfrm>
      </xdr:grpSpPr>
      <xdr:pic>
        <xdr:nvPicPr>
          <xdr:cNvPr id="34" name="Picture 9" descr="RM's logo">
            <a:extLst>
              <a:ext uri="{FF2B5EF4-FFF2-40B4-BE49-F238E27FC236}">
                <a16:creationId xmlns:a16="http://schemas.microsoft.com/office/drawing/2014/main" id="{8D0E8542-E269-47D9-9BD1-739A0F8763D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2495439" y="13596257"/>
            <a:ext cx="5783036" cy="7048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5" name="Billede 0" descr="logo.wmf">
            <a:extLst>
              <a:ext uri="{FF2B5EF4-FFF2-40B4-BE49-F238E27FC236}">
                <a16:creationId xmlns:a16="http://schemas.microsoft.com/office/drawing/2014/main" id="{43BBF3C0-6A17-4AB7-AA2F-BC2D5141B19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2928146" y="13824857"/>
            <a:ext cx="17907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24</xdr:col>
      <xdr:colOff>0</xdr:colOff>
      <xdr:row>87</xdr:row>
      <xdr:rowOff>0</xdr:rowOff>
    </xdr:from>
    <xdr:to>
      <xdr:col>29</xdr:col>
      <xdr:colOff>404132</xdr:colOff>
      <xdr:row>87</xdr:row>
      <xdr:rowOff>745672</xdr:rowOff>
    </xdr:to>
    <xdr:grpSp>
      <xdr:nvGrpSpPr>
        <xdr:cNvPr id="36" name="Gruppe 3">
          <a:extLst>
            <a:ext uri="{FF2B5EF4-FFF2-40B4-BE49-F238E27FC236}">
              <a16:creationId xmlns:a16="http://schemas.microsoft.com/office/drawing/2014/main" id="{3F9D833E-662F-4300-80E2-56401CB6504A}"/>
            </a:ext>
          </a:extLst>
        </xdr:cNvPr>
        <xdr:cNvGrpSpPr>
          <a:grpSpLocks/>
        </xdr:cNvGrpSpPr>
      </xdr:nvGrpSpPr>
      <xdr:grpSpPr bwMode="auto">
        <a:xfrm>
          <a:off x="11873948" y="18692191"/>
          <a:ext cx="5539349" cy="745672"/>
          <a:chOff x="12495439" y="13596257"/>
          <a:chExt cx="5783036" cy="704850"/>
        </a:xfrm>
      </xdr:grpSpPr>
      <xdr:pic>
        <xdr:nvPicPr>
          <xdr:cNvPr id="37" name="Picture 9" descr="RM's logo">
            <a:extLst>
              <a:ext uri="{FF2B5EF4-FFF2-40B4-BE49-F238E27FC236}">
                <a16:creationId xmlns:a16="http://schemas.microsoft.com/office/drawing/2014/main" id="{DA05B656-6678-4C2E-9533-1A0EF94DF69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2495439" y="13596257"/>
            <a:ext cx="5783036" cy="7048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8" name="Billede 0" descr="logo.wmf">
            <a:extLst>
              <a:ext uri="{FF2B5EF4-FFF2-40B4-BE49-F238E27FC236}">
                <a16:creationId xmlns:a16="http://schemas.microsoft.com/office/drawing/2014/main" id="{16EF300F-02B9-4D09-9357-603447F53DC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2928146" y="13824857"/>
            <a:ext cx="17907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24</xdr:col>
      <xdr:colOff>0</xdr:colOff>
      <xdr:row>87</xdr:row>
      <xdr:rowOff>0</xdr:rowOff>
    </xdr:from>
    <xdr:to>
      <xdr:col>29</xdr:col>
      <xdr:colOff>404132</xdr:colOff>
      <xdr:row>87</xdr:row>
      <xdr:rowOff>745672</xdr:rowOff>
    </xdr:to>
    <xdr:grpSp>
      <xdr:nvGrpSpPr>
        <xdr:cNvPr id="39" name="Gruppe 3">
          <a:extLst>
            <a:ext uri="{FF2B5EF4-FFF2-40B4-BE49-F238E27FC236}">
              <a16:creationId xmlns:a16="http://schemas.microsoft.com/office/drawing/2014/main" id="{D2E1ED19-AEBA-4817-8F3D-335390AFAFE4}"/>
            </a:ext>
          </a:extLst>
        </xdr:cNvPr>
        <xdr:cNvGrpSpPr>
          <a:grpSpLocks/>
        </xdr:cNvGrpSpPr>
      </xdr:nvGrpSpPr>
      <xdr:grpSpPr bwMode="auto">
        <a:xfrm>
          <a:off x="11873948" y="18692191"/>
          <a:ext cx="5539349" cy="745672"/>
          <a:chOff x="12495439" y="13596257"/>
          <a:chExt cx="5783036" cy="704850"/>
        </a:xfrm>
      </xdr:grpSpPr>
      <xdr:pic>
        <xdr:nvPicPr>
          <xdr:cNvPr id="40" name="Picture 9" descr="RM's logo">
            <a:extLst>
              <a:ext uri="{FF2B5EF4-FFF2-40B4-BE49-F238E27FC236}">
                <a16:creationId xmlns:a16="http://schemas.microsoft.com/office/drawing/2014/main" id="{CA583DD9-B10B-472F-B278-1CCEA66F5F0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2495439" y="13596257"/>
            <a:ext cx="5783036" cy="7048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1" name="Billede 0" descr="logo.wmf">
            <a:extLst>
              <a:ext uri="{FF2B5EF4-FFF2-40B4-BE49-F238E27FC236}">
                <a16:creationId xmlns:a16="http://schemas.microsoft.com/office/drawing/2014/main" id="{2B06EB07-1B84-4E59-A9E3-5358D9500FB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2928146" y="13824857"/>
            <a:ext cx="17907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24</xdr:col>
      <xdr:colOff>0</xdr:colOff>
      <xdr:row>87</xdr:row>
      <xdr:rowOff>0</xdr:rowOff>
    </xdr:from>
    <xdr:to>
      <xdr:col>29</xdr:col>
      <xdr:colOff>404132</xdr:colOff>
      <xdr:row>87</xdr:row>
      <xdr:rowOff>745672</xdr:rowOff>
    </xdr:to>
    <xdr:grpSp>
      <xdr:nvGrpSpPr>
        <xdr:cNvPr id="42" name="Gruppe 3">
          <a:extLst>
            <a:ext uri="{FF2B5EF4-FFF2-40B4-BE49-F238E27FC236}">
              <a16:creationId xmlns:a16="http://schemas.microsoft.com/office/drawing/2014/main" id="{05D37A3C-77A1-4F66-922B-651D41876F69}"/>
            </a:ext>
          </a:extLst>
        </xdr:cNvPr>
        <xdr:cNvGrpSpPr>
          <a:grpSpLocks/>
        </xdr:cNvGrpSpPr>
      </xdr:nvGrpSpPr>
      <xdr:grpSpPr bwMode="auto">
        <a:xfrm>
          <a:off x="11873948" y="18692191"/>
          <a:ext cx="5539349" cy="745672"/>
          <a:chOff x="12495439" y="13596257"/>
          <a:chExt cx="5783036" cy="704850"/>
        </a:xfrm>
      </xdr:grpSpPr>
      <xdr:pic>
        <xdr:nvPicPr>
          <xdr:cNvPr id="43" name="Picture 9" descr="RM's logo">
            <a:extLst>
              <a:ext uri="{FF2B5EF4-FFF2-40B4-BE49-F238E27FC236}">
                <a16:creationId xmlns:a16="http://schemas.microsoft.com/office/drawing/2014/main" id="{F7C7E163-2CEA-4A29-AE60-D50D3C0D095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2495439" y="13596257"/>
            <a:ext cx="5783036" cy="7048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4" name="Billede 0" descr="logo.wmf">
            <a:extLst>
              <a:ext uri="{FF2B5EF4-FFF2-40B4-BE49-F238E27FC236}">
                <a16:creationId xmlns:a16="http://schemas.microsoft.com/office/drawing/2014/main" id="{950AA60F-A988-402B-8DDC-665BD6FBF2E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2928146" y="13824857"/>
            <a:ext cx="17907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24</xdr:col>
      <xdr:colOff>0</xdr:colOff>
      <xdr:row>87</xdr:row>
      <xdr:rowOff>0</xdr:rowOff>
    </xdr:from>
    <xdr:to>
      <xdr:col>29</xdr:col>
      <xdr:colOff>404132</xdr:colOff>
      <xdr:row>87</xdr:row>
      <xdr:rowOff>745672</xdr:rowOff>
    </xdr:to>
    <xdr:grpSp>
      <xdr:nvGrpSpPr>
        <xdr:cNvPr id="45" name="Gruppe 3">
          <a:extLst>
            <a:ext uri="{FF2B5EF4-FFF2-40B4-BE49-F238E27FC236}">
              <a16:creationId xmlns:a16="http://schemas.microsoft.com/office/drawing/2014/main" id="{6A67661B-DF65-4CE8-91A8-E21BFFBBE8AB}"/>
            </a:ext>
          </a:extLst>
        </xdr:cNvPr>
        <xdr:cNvGrpSpPr>
          <a:grpSpLocks/>
        </xdr:cNvGrpSpPr>
      </xdr:nvGrpSpPr>
      <xdr:grpSpPr bwMode="auto">
        <a:xfrm>
          <a:off x="11873948" y="18692191"/>
          <a:ext cx="5539349" cy="745672"/>
          <a:chOff x="12495439" y="13596257"/>
          <a:chExt cx="5783036" cy="704850"/>
        </a:xfrm>
      </xdr:grpSpPr>
      <xdr:pic>
        <xdr:nvPicPr>
          <xdr:cNvPr id="46" name="Picture 9" descr="RM's logo">
            <a:extLst>
              <a:ext uri="{FF2B5EF4-FFF2-40B4-BE49-F238E27FC236}">
                <a16:creationId xmlns:a16="http://schemas.microsoft.com/office/drawing/2014/main" id="{0BA90A0A-7DD0-4201-BEC1-0DBD72C134A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2495439" y="13596257"/>
            <a:ext cx="5783036" cy="7048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7" name="Billede 0" descr="logo.wmf">
            <a:extLst>
              <a:ext uri="{FF2B5EF4-FFF2-40B4-BE49-F238E27FC236}">
                <a16:creationId xmlns:a16="http://schemas.microsoft.com/office/drawing/2014/main" id="{B7FEFF18-C4C5-4473-9C6F-BE54DD5E59A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2928146" y="13824857"/>
            <a:ext cx="17907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24</xdr:col>
      <xdr:colOff>0</xdr:colOff>
      <xdr:row>87</xdr:row>
      <xdr:rowOff>0</xdr:rowOff>
    </xdr:from>
    <xdr:to>
      <xdr:col>29</xdr:col>
      <xdr:colOff>404132</xdr:colOff>
      <xdr:row>87</xdr:row>
      <xdr:rowOff>745672</xdr:rowOff>
    </xdr:to>
    <xdr:grpSp>
      <xdr:nvGrpSpPr>
        <xdr:cNvPr id="48" name="Gruppe 3">
          <a:extLst>
            <a:ext uri="{FF2B5EF4-FFF2-40B4-BE49-F238E27FC236}">
              <a16:creationId xmlns:a16="http://schemas.microsoft.com/office/drawing/2014/main" id="{2F12A227-C8F0-426C-88B7-EC2C8EE7596F}"/>
            </a:ext>
          </a:extLst>
        </xdr:cNvPr>
        <xdr:cNvGrpSpPr>
          <a:grpSpLocks/>
        </xdr:cNvGrpSpPr>
      </xdr:nvGrpSpPr>
      <xdr:grpSpPr bwMode="auto">
        <a:xfrm>
          <a:off x="11873948" y="18692191"/>
          <a:ext cx="5539349" cy="745672"/>
          <a:chOff x="12495439" y="13596257"/>
          <a:chExt cx="5783036" cy="704850"/>
        </a:xfrm>
      </xdr:grpSpPr>
      <xdr:pic>
        <xdr:nvPicPr>
          <xdr:cNvPr id="49" name="Picture 9" descr="RM's logo">
            <a:extLst>
              <a:ext uri="{FF2B5EF4-FFF2-40B4-BE49-F238E27FC236}">
                <a16:creationId xmlns:a16="http://schemas.microsoft.com/office/drawing/2014/main" id="{BCD6AD39-A302-4372-8620-C06A4CDBDAC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2495439" y="13596257"/>
            <a:ext cx="5783036" cy="7048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50" name="Billede 0" descr="logo.wmf">
            <a:extLst>
              <a:ext uri="{FF2B5EF4-FFF2-40B4-BE49-F238E27FC236}">
                <a16:creationId xmlns:a16="http://schemas.microsoft.com/office/drawing/2014/main" id="{EA2CFF92-8444-49E0-98C9-EA0D42567C6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2928146" y="13824857"/>
            <a:ext cx="17907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24</xdr:col>
      <xdr:colOff>0</xdr:colOff>
      <xdr:row>87</xdr:row>
      <xdr:rowOff>0</xdr:rowOff>
    </xdr:from>
    <xdr:to>
      <xdr:col>29</xdr:col>
      <xdr:colOff>404132</xdr:colOff>
      <xdr:row>87</xdr:row>
      <xdr:rowOff>745672</xdr:rowOff>
    </xdr:to>
    <xdr:grpSp>
      <xdr:nvGrpSpPr>
        <xdr:cNvPr id="51" name="Gruppe 3">
          <a:extLst>
            <a:ext uri="{FF2B5EF4-FFF2-40B4-BE49-F238E27FC236}">
              <a16:creationId xmlns:a16="http://schemas.microsoft.com/office/drawing/2014/main" id="{ADC354FB-2250-43A1-86CB-D0FE0A020B96}"/>
            </a:ext>
          </a:extLst>
        </xdr:cNvPr>
        <xdr:cNvGrpSpPr>
          <a:grpSpLocks/>
        </xdr:cNvGrpSpPr>
      </xdr:nvGrpSpPr>
      <xdr:grpSpPr bwMode="auto">
        <a:xfrm>
          <a:off x="11873948" y="18692191"/>
          <a:ext cx="5539349" cy="745672"/>
          <a:chOff x="12495439" y="13596257"/>
          <a:chExt cx="5783036" cy="704850"/>
        </a:xfrm>
      </xdr:grpSpPr>
      <xdr:pic>
        <xdr:nvPicPr>
          <xdr:cNvPr id="52" name="Picture 9" descr="RM's logo">
            <a:extLst>
              <a:ext uri="{FF2B5EF4-FFF2-40B4-BE49-F238E27FC236}">
                <a16:creationId xmlns:a16="http://schemas.microsoft.com/office/drawing/2014/main" id="{6F2E0C84-CF16-4F32-9290-D555AA7D4DA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2495439" y="13596257"/>
            <a:ext cx="5783036" cy="7048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53" name="Billede 0" descr="logo.wmf">
            <a:extLst>
              <a:ext uri="{FF2B5EF4-FFF2-40B4-BE49-F238E27FC236}">
                <a16:creationId xmlns:a16="http://schemas.microsoft.com/office/drawing/2014/main" id="{F065E459-6CC6-44D9-9B1C-7B1152AD06A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2928146" y="13824857"/>
            <a:ext cx="17907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24</xdr:col>
      <xdr:colOff>0</xdr:colOff>
      <xdr:row>87</xdr:row>
      <xdr:rowOff>0</xdr:rowOff>
    </xdr:from>
    <xdr:to>
      <xdr:col>29</xdr:col>
      <xdr:colOff>404132</xdr:colOff>
      <xdr:row>87</xdr:row>
      <xdr:rowOff>745672</xdr:rowOff>
    </xdr:to>
    <xdr:grpSp>
      <xdr:nvGrpSpPr>
        <xdr:cNvPr id="54" name="Gruppe 3">
          <a:extLst>
            <a:ext uri="{FF2B5EF4-FFF2-40B4-BE49-F238E27FC236}">
              <a16:creationId xmlns:a16="http://schemas.microsoft.com/office/drawing/2014/main" id="{96862903-6D8E-41F3-BEBD-72C9F246DE1E}"/>
            </a:ext>
          </a:extLst>
        </xdr:cNvPr>
        <xdr:cNvGrpSpPr>
          <a:grpSpLocks/>
        </xdr:cNvGrpSpPr>
      </xdr:nvGrpSpPr>
      <xdr:grpSpPr bwMode="auto">
        <a:xfrm>
          <a:off x="11873948" y="18692191"/>
          <a:ext cx="5539349" cy="745672"/>
          <a:chOff x="12495439" y="13596257"/>
          <a:chExt cx="5783036" cy="704850"/>
        </a:xfrm>
      </xdr:grpSpPr>
      <xdr:pic>
        <xdr:nvPicPr>
          <xdr:cNvPr id="55" name="Picture 9" descr="RM's logo">
            <a:extLst>
              <a:ext uri="{FF2B5EF4-FFF2-40B4-BE49-F238E27FC236}">
                <a16:creationId xmlns:a16="http://schemas.microsoft.com/office/drawing/2014/main" id="{41B81F8C-5C7E-450E-9159-DD5483C9204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2495439" y="13596257"/>
            <a:ext cx="5783036" cy="7048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56" name="Billede 0" descr="logo.wmf">
            <a:extLst>
              <a:ext uri="{FF2B5EF4-FFF2-40B4-BE49-F238E27FC236}">
                <a16:creationId xmlns:a16="http://schemas.microsoft.com/office/drawing/2014/main" id="{EBCF0C7F-0364-4CCF-A85C-13166519287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2928146" y="13824857"/>
            <a:ext cx="17907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24</xdr:col>
      <xdr:colOff>0</xdr:colOff>
      <xdr:row>87</xdr:row>
      <xdr:rowOff>0</xdr:rowOff>
    </xdr:from>
    <xdr:to>
      <xdr:col>29</xdr:col>
      <xdr:colOff>404132</xdr:colOff>
      <xdr:row>87</xdr:row>
      <xdr:rowOff>745672</xdr:rowOff>
    </xdr:to>
    <xdr:grpSp>
      <xdr:nvGrpSpPr>
        <xdr:cNvPr id="57" name="Gruppe 3">
          <a:extLst>
            <a:ext uri="{FF2B5EF4-FFF2-40B4-BE49-F238E27FC236}">
              <a16:creationId xmlns:a16="http://schemas.microsoft.com/office/drawing/2014/main" id="{6731647E-5F49-41E6-BA24-16C1FDFC8F17}"/>
            </a:ext>
          </a:extLst>
        </xdr:cNvPr>
        <xdr:cNvGrpSpPr>
          <a:grpSpLocks/>
        </xdr:cNvGrpSpPr>
      </xdr:nvGrpSpPr>
      <xdr:grpSpPr bwMode="auto">
        <a:xfrm>
          <a:off x="11873948" y="18692191"/>
          <a:ext cx="5539349" cy="745672"/>
          <a:chOff x="12495439" y="13596257"/>
          <a:chExt cx="5783036" cy="704850"/>
        </a:xfrm>
      </xdr:grpSpPr>
      <xdr:pic>
        <xdr:nvPicPr>
          <xdr:cNvPr id="58" name="Picture 9" descr="RM's logo">
            <a:extLst>
              <a:ext uri="{FF2B5EF4-FFF2-40B4-BE49-F238E27FC236}">
                <a16:creationId xmlns:a16="http://schemas.microsoft.com/office/drawing/2014/main" id="{7A59F1FE-B420-4A7A-91CF-FD5E2621ADF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2495439" y="13596257"/>
            <a:ext cx="5783036" cy="7048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59" name="Billede 0" descr="logo.wmf">
            <a:extLst>
              <a:ext uri="{FF2B5EF4-FFF2-40B4-BE49-F238E27FC236}">
                <a16:creationId xmlns:a16="http://schemas.microsoft.com/office/drawing/2014/main" id="{2D25BAC0-5CF2-4C43-9AE3-DFA9630F08B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2928146" y="13824857"/>
            <a:ext cx="17907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24</xdr:col>
      <xdr:colOff>0</xdr:colOff>
      <xdr:row>87</xdr:row>
      <xdr:rowOff>0</xdr:rowOff>
    </xdr:from>
    <xdr:to>
      <xdr:col>29</xdr:col>
      <xdr:colOff>404132</xdr:colOff>
      <xdr:row>87</xdr:row>
      <xdr:rowOff>745672</xdr:rowOff>
    </xdr:to>
    <xdr:grpSp>
      <xdr:nvGrpSpPr>
        <xdr:cNvPr id="60" name="Gruppe 3">
          <a:extLst>
            <a:ext uri="{FF2B5EF4-FFF2-40B4-BE49-F238E27FC236}">
              <a16:creationId xmlns:a16="http://schemas.microsoft.com/office/drawing/2014/main" id="{E3628456-5EE7-4A47-B17B-84BD07DE45F5}"/>
            </a:ext>
          </a:extLst>
        </xdr:cNvPr>
        <xdr:cNvGrpSpPr>
          <a:grpSpLocks/>
        </xdr:cNvGrpSpPr>
      </xdr:nvGrpSpPr>
      <xdr:grpSpPr bwMode="auto">
        <a:xfrm>
          <a:off x="11873948" y="18692191"/>
          <a:ext cx="5539349" cy="745672"/>
          <a:chOff x="12495439" y="13596257"/>
          <a:chExt cx="5783036" cy="704850"/>
        </a:xfrm>
      </xdr:grpSpPr>
      <xdr:pic>
        <xdr:nvPicPr>
          <xdr:cNvPr id="61" name="Picture 9" descr="RM's logo">
            <a:extLst>
              <a:ext uri="{FF2B5EF4-FFF2-40B4-BE49-F238E27FC236}">
                <a16:creationId xmlns:a16="http://schemas.microsoft.com/office/drawing/2014/main" id="{D0DAB074-6EBF-441B-AFA5-D83ACBD2F0A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2495439" y="13596257"/>
            <a:ext cx="5783036" cy="7048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62" name="Billede 0" descr="logo.wmf">
            <a:extLst>
              <a:ext uri="{FF2B5EF4-FFF2-40B4-BE49-F238E27FC236}">
                <a16:creationId xmlns:a16="http://schemas.microsoft.com/office/drawing/2014/main" id="{C0D64A1C-4CE6-4977-BB63-E04BCE27EF2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2928146" y="13824857"/>
            <a:ext cx="17907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24</xdr:col>
      <xdr:colOff>0</xdr:colOff>
      <xdr:row>87</xdr:row>
      <xdr:rowOff>0</xdr:rowOff>
    </xdr:from>
    <xdr:to>
      <xdr:col>29</xdr:col>
      <xdr:colOff>404132</xdr:colOff>
      <xdr:row>87</xdr:row>
      <xdr:rowOff>745672</xdr:rowOff>
    </xdr:to>
    <xdr:grpSp>
      <xdr:nvGrpSpPr>
        <xdr:cNvPr id="63" name="Gruppe 3">
          <a:extLst>
            <a:ext uri="{FF2B5EF4-FFF2-40B4-BE49-F238E27FC236}">
              <a16:creationId xmlns:a16="http://schemas.microsoft.com/office/drawing/2014/main" id="{098D26B8-0560-45DE-B81C-26755EA6C417}"/>
            </a:ext>
          </a:extLst>
        </xdr:cNvPr>
        <xdr:cNvGrpSpPr>
          <a:grpSpLocks/>
        </xdr:cNvGrpSpPr>
      </xdr:nvGrpSpPr>
      <xdr:grpSpPr bwMode="auto">
        <a:xfrm>
          <a:off x="11873948" y="18692191"/>
          <a:ext cx="5539349" cy="745672"/>
          <a:chOff x="12495439" y="13596257"/>
          <a:chExt cx="5783036" cy="704850"/>
        </a:xfrm>
      </xdr:grpSpPr>
      <xdr:pic>
        <xdr:nvPicPr>
          <xdr:cNvPr id="64" name="Picture 9" descr="RM's logo">
            <a:extLst>
              <a:ext uri="{FF2B5EF4-FFF2-40B4-BE49-F238E27FC236}">
                <a16:creationId xmlns:a16="http://schemas.microsoft.com/office/drawing/2014/main" id="{823F936A-EDE0-4053-84D9-1869486DA94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2495439" y="13596257"/>
            <a:ext cx="5783036" cy="7048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65" name="Billede 0" descr="logo.wmf">
            <a:extLst>
              <a:ext uri="{FF2B5EF4-FFF2-40B4-BE49-F238E27FC236}">
                <a16:creationId xmlns:a16="http://schemas.microsoft.com/office/drawing/2014/main" id="{F3C06A2E-B051-48D6-8A58-5BB55F1C561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2928146" y="13824857"/>
            <a:ext cx="17907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24</xdr:col>
      <xdr:colOff>0</xdr:colOff>
      <xdr:row>87</xdr:row>
      <xdr:rowOff>0</xdr:rowOff>
    </xdr:from>
    <xdr:to>
      <xdr:col>29</xdr:col>
      <xdr:colOff>404132</xdr:colOff>
      <xdr:row>87</xdr:row>
      <xdr:rowOff>745672</xdr:rowOff>
    </xdr:to>
    <xdr:grpSp>
      <xdr:nvGrpSpPr>
        <xdr:cNvPr id="66" name="Gruppe 3">
          <a:extLst>
            <a:ext uri="{FF2B5EF4-FFF2-40B4-BE49-F238E27FC236}">
              <a16:creationId xmlns:a16="http://schemas.microsoft.com/office/drawing/2014/main" id="{47917FF6-03E8-4060-9072-3B89CD807D8F}"/>
            </a:ext>
          </a:extLst>
        </xdr:cNvPr>
        <xdr:cNvGrpSpPr>
          <a:grpSpLocks/>
        </xdr:cNvGrpSpPr>
      </xdr:nvGrpSpPr>
      <xdr:grpSpPr bwMode="auto">
        <a:xfrm>
          <a:off x="11873948" y="18692191"/>
          <a:ext cx="5539349" cy="745672"/>
          <a:chOff x="12495439" y="13596257"/>
          <a:chExt cx="5783036" cy="704850"/>
        </a:xfrm>
      </xdr:grpSpPr>
      <xdr:pic>
        <xdr:nvPicPr>
          <xdr:cNvPr id="67" name="Picture 9" descr="RM's logo">
            <a:extLst>
              <a:ext uri="{FF2B5EF4-FFF2-40B4-BE49-F238E27FC236}">
                <a16:creationId xmlns:a16="http://schemas.microsoft.com/office/drawing/2014/main" id="{03DB178F-4812-4204-B1B4-1BFE8186FD1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2495439" y="13596257"/>
            <a:ext cx="5783036" cy="7048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68" name="Billede 0" descr="logo.wmf">
            <a:extLst>
              <a:ext uri="{FF2B5EF4-FFF2-40B4-BE49-F238E27FC236}">
                <a16:creationId xmlns:a16="http://schemas.microsoft.com/office/drawing/2014/main" id="{05041221-6002-4E04-9CE7-F947BE02087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2928146" y="13824857"/>
            <a:ext cx="17907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87</xdr:row>
      <xdr:rowOff>0</xdr:rowOff>
    </xdr:from>
    <xdr:to>
      <xdr:col>29</xdr:col>
      <xdr:colOff>400322</xdr:colOff>
      <xdr:row>87</xdr:row>
      <xdr:rowOff>179887</xdr:rowOff>
    </xdr:to>
    <xdr:grpSp>
      <xdr:nvGrpSpPr>
        <xdr:cNvPr id="2" name="Gruppe 3">
          <a:extLst>
            <a:ext uri="{FF2B5EF4-FFF2-40B4-BE49-F238E27FC236}">
              <a16:creationId xmlns:a16="http://schemas.microsoft.com/office/drawing/2014/main" id="{F0873AA9-873D-4A10-AD56-02D60C515190}"/>
            </a:ext>
          </a:extLst>
        </xdr:cNvPr>
        <xdr:cNvGrpSpPr>
          <a:grpSpLocks/>
        </xdr:cNvGrpSpPr>
      </xdr:nvGrpSpPr>
      <xdr:grpSpPr bwMode="auto">
        <a:xfrm>
          <a:off x="11811000" y="18486120"/>
          <a:ext cx="5528582" cy="179887"/>
          <a:chOff x="12495439" y="13596257"/>
          <a:chExt cx="5783036" cy="704850"/>
        </a:xfrm>
      </xdr:grpSpPr>
      <xdr:pic>
        <xdr:nvPicPr>
          <xdr:cNvPr id="3" name="Picture 9" descr="RM's logo">
            <a:extLst>
              <a:ext uri="{FF2B5EF4-FFF2-40B4-BE49-F238E27FC236}">
                <a16:creationId xmlns:a16="http://schemas.microsoft.com/office/drawing/2014/main" id="{D41ED881-18C3-4A92-9483-6D584B8A41F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2495439" y="13596257"/>
            <a:ext cx="5783036" cy="7048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Billede 0" descr="logo.wmf">
            <a:extLst>
              <a:ext uri="{FF2B5EF4-FFF2-40B4-BE49-F238E27FC236}">
                <a16:creationId xmlns:a16="http://schemas.microsoft.com/office/drawing/2014/main" id="{77110511-B911-459C-A1C2-B04FDEA30DE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2928146" y="13824857"/>
            <a:ext cx="17907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9DEA5-F29D-4622-B2B7-C34542B21891}">
  <dimension ref="A1:U19"/>
  <sheetViews>
    <sheetView tabSelected="1" workbookViewId="0">
      <selection activeCell="E9" sqref="E9"/>
    </sheetView>
  </sheetViews>
  <sheetFormatPr defaultRowHeight="14.4" x14ac:dyDescent="0.3"/>
  <cols>
    <col min="1" max="1" width="8.33203125" customWidth="1"/>
    <col min="2" max="2" width="35.6640625" customWidth="1"/>
    <col min="5" max="5" width="28" customWidth="1"/>
    <col min="7" max="9" width="35.6640625" customWidth="1"/>
    <col min="12" max="12" width="38.5546875" customWidth="1"/>
    <col min="13" max="13" width="16.44140625" customWidth="1"/>
    <col min="14" max="18" width="14.44140625" customWidth="1"/>
    <col min="19" max="19" width="22.5546875" customWidth="1"/>
    <col min="20" max="20" width="21.5546875" customWidth="1"/>
  </cols>
  <sheetData>
    <row r="1" spans="1:21" ht="22.8" x14ac:dyDescent="0.4">
      <c r="A1" s="1"/>
      <c r="B1" s="3" t="s">
        <v>37</v>
      </c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M1" s="1"/>
      <c r="N1" s="1"/>
      <c r="O1" s="1"/>
      <c r="P1" s="1"/>
      <c r="Q1" s="1"/>
      <c r="R1" s="1"/>
      <c r="S1" s="1"/>
      <c r="T1" s="1"/>
      <c r="U1" s="1"/>
    </row>
    <row r="2" spans="1:21" x14ac:dyDescent="0.3">
      <c r="L2" s="2"/>
      <c r="M2" s="2"/>
      <c r="N2" s="2"/>
      <c r="O2" s="2"/>
      <c r="P2" s="2"/>
      <c r="Q2" s="2"/>
      <c r="R2" s="2"/>
      <c r="S2" s="2"/>
      <c r="T2" s="2"/>
    </row>
    <row r="4" spans="1:21" ht="15" thickBot="1" x14ac:dyDescent="0.35"/>
    <row r="5" spans="1:21" ht="17.399999999999999" thickBot="1" x14ac:dyDescent="0.35">
      <c r="A5" s="41">
        <v>2018</v>
      </c>
      <c r="B5" s="580" t="s">
        <v>1</v>
      </c>
      <c r="C5" s="24">
        <v>97181</v>
      </c>
      <c r="D5" s="25" t="s">
        <v>33</v>
      </c>
      <c r="E5" s="34" t="s">
        <v>29</v>
      </c>
      <c r="F5" s="24">
        <v>1408.9</v>
      </c>
      <c r="G5" s="24" t="s">
        <v>34</v>
      </c>
      <c r="H5" s="35" t="s">
        <v>2</v>
      </c>
      <c r="I5" s="27">
        <v>33233140807.161697</v>
      </c>
      <c r="J5" s="28" t="s">
        <v>3</v>
      </c>
      <c r="L5" s="41">
        <v>2018</v>
      </c>
      <c r="M5" s="42" t="s">
        <v>4</v>
      </c>
      <c r="N5" s="43">
        <v>5806015</v>
      </c>
      <c r="O5" s="45" t="s">
        <v>33</v>
      </c>
      <c r="P5" s="44" t="s">
        <v>5</v>
      </c>
      <c r="Q5" s="46">
        <v>42934.1</v>
      </c>
      <c r="R5" s="47" t="s">
        <v>34</v>
      </c>
      <c r="S5" s="48" t="s">
        <v>6</v>
      </c>
      <c r="T5" s="49">
        <f>2231073.40951218*1000000</f>
        <v>2231073409512.1797</v>
      </c>
      <c r="U5" s="28" t="s">
        <v>35</v>
      </c>
    </row>
    <row r="6" spans="1:21" ht="15" thickBot="1" x14ac:dyDescent="0.35">
      <c r="H6" s="36" t="s">
        <v>7</v>
      </c>
      <c r="I6" s="32">
        <v>341971.58711231308</v>
      </c>
      <c r="J6" s="33" t="s">
        <v>3</v>
      </c>
      <c r="L6" s="39"/>
      <c r="M6" s="39"/>
      <c r="N6" s="40"/>
      <c r="O6" s="40"/>
      <c r="P6" s="39"/>
      <c r="Q6" s="39"/>
      <c r="R6" s="39"/>
      <c r="S6" s="50" t="s">
        <v>7</v>
      </c>
      <c r="T6" s="51">
        <f>T5/N5</f>
        <v>384269.31544478954</v>
      </c>
      <c r="U6" s="33" t="s">
        <v>36</v>
      </c>
    </row>
    <row r="7" spans="1:21" ht="15" thickBot="1" x14ac:dyDescent="0.35">
      <c r="L7" s="2"/>
      <c r="M7" s="2"/>
      <c r="N7" s="2"/>
      <c r="O7" s="2"/>
      <c r="P7" s="2"/>
      <c r="Q7" s="2"/>
      <c r="R7" s="2"/>
      <c r="S7" s="2"/>
      <c r="T7" s="2"/>
    </row>
    <row r="8" spans="1:21" ht="28.8" thickBot="1" x14ac:dyDescent="0.35">
      <c r="B8" s="5" t="s">
        <v>8</v>
      </c>
      <c r="C8" s="6">
        <v>1990</v>
      </c>
      <c r="D8" s="6">
        <v>2018</v>
      </c>
      <c r="G8" s="37">
        <v>2018</v>
      </c>
      <c r="H8" s="37">
        <v>2018</v>
      </c>
      <c r="I8" s="37">
        <v>2018</v>
      </c>
      <c r="L8" s="53" t="s">
        <v>38</v>
      </c>
      <c r="M8" s="7">
        <v>1990</v>
      </c>
      <c r="N8" s="8">
        <v>2018</v>
      </c>
      <c r="O8" s="9" t="s">
        <v>9</v>
      </c>
      <c r="P8" s="2"/>
      <c r="R8" s="6">
        <v>2018</v>
      </c>
      <c r="S8" s="6">
        <v>2018</v>
      </c>
      <c r="T8" s="6">
        <v>2018</v>
      </c>
    </row>
    <row r="9" spans="1:21" ht="45" x14ac:dyDescent="0.35">
      <c r="B9" s="10" t="s">
        <v>10</v>
      </c>
      <c r="C9" s="27">
        <v>197301.97537391822</v>
      </c>
      <c r="D9" s="28">
        <v>150311.1404688922</v>
      </c>
      <c r="G9" s="26" t="s">
        <v>30</v>
      </c>
      <c r="H9" s="27" t="s">
        <v>31</v>
      </c>
      <c r="I9" s="38" t="s">
        <v>32</v>
      </c>
      <c r="L9" s="12" t="s">
        <v>14</v>
      </c>
      <c r="M9" s="13">
        <v>6294.3067454164102</v>
      </c>
      <c r="N9" s="14">
        <v>4326.5568621223865</v>
      </c>
      <c r="O9" s="15">
        <f>(M9-N9)/M9</f>
        <v>0.31262376666452785</v>
      </c>
      <c r="P9" s="2"/>
      <c r="R9" s="11" t="s">
        <v>11</v>
      </c>
      <c r="S9" s="11" t="s">
        <v>12</v>
      </c>
      <c r="T9" s="11" t="s">
        <v>13</v>
      </c>
    </row>
    <row r="10" spans="1:21" ht="15" thickBot="1" x14ac:dyDescent="0.35">
      <c r="B10" s="16" t="s">
        <v>15</v>
      </c>
      <c r="C10" s="29">
        <v>370222.56437808735</v>
      </c>
      <c r="D10" s="30">
        <v>362152.27911942598</v>
      </c>
      <c r="G10" s="54">
        <v>15.632610781426537</v>
      </c>
      <c r="H10" s="55">
        <v>1078.2828790899371</v>
      </c>
      <c r="I10" s="56">
        <v>45.713186038149857</v>
      </c>
      <c r="L10" s="12" t="s">
        <v>15</v>
      </c>
      <c r="M10" s="17">
        <v>6904.1331362134315</v>
      </c>
      <c r="N10" s="17">
        <v>6750.2798344794264</v>
      </c>
      <c r="O10" s="15">
        <f t="shared" ref="O10:O16" si="0">(M10-N10)/M10</f>
        <v>2.2284231589772881E-2</v>
      </c>
      <c r="P10" s="2"/>
      <c r="R10" s="52">
        <f>N16*1000/N5</f>
        <v>9.6322303252881003</v>
      </c>
      <c r="S10" s="52">
        <f>(N16*1000)/Q5</f>
        <v>1302.5747308567686</v>
      </c>
      <c r="T10" s="52">
        <f>(R10*1000)/(T6/1000)</f>
        <v>25.066353044970167</v>
      </c>
    </row>
    <row r="11" spans="1:21" x14ac:dyDescent="0.3">
      <c r="B11" s="16" t="s">
        <v>16</v>
      </c>
      <c r="C11" s="29">
        <v>17139.364284419495</v>
      </c>
      <c r="D11" s="30">
        <v>15783.333729391918</v>
      </c>
      <c r="G11" s="57"/>
      <c r="H11" s="57"/>
      <c r="I11" s="57"/>
      <c r="L11" s="16" t="s">
        <v>16</v>
      </c>
      <c r="M11" s="4">
        <v>2343.8218034440442</v>
      </c>
      <c r="N11" s="17">
        <v>2142.4515457087405</v>
      </c>
      <c r="O11" s="15">
        <f t="shared" si="0"/>
        <v>8.5915344519539638E-2</v>
      </c>
      <c r="P11" s="2"/>
      <c r="Q11" s="2"/>
      <c r="R11" s="2"/>
      <c r="S11" s="2"/>
      <c r="T11" s="2"/>
    </row>
    <row r="12" spans="1:21" x14ac:dyDescent="0.3">
      <c r="B12" s="16" t="s">
        <v>17</v>
      </c>
      <c r="C12" s="31">
        <v>233431.38</v>
      </c>
      <c r="D12" s="30">
        <v>294840.35849999997</v>
      </c>
      <c r="G12" s="57"/>
      <c r="H12" s="57"/>
      <c r="I12" s="57"/>
      <c r="L12" s="16" t="s">
        <v>17</v>
      </c>
      <c r="M12" s="4">
        <v>10954.560924084955</v>
      </c>
      <c r="N12" s="17">
        <v>13714.434587240145</v>
      </c>
      <c r="O12" s="15">
        <f t="shared" si="0"/>
        <v>-0.25193831886837803</v>
      </c>
      <c r="P12" s="2"/>
      <c r="Q12" s="2"/>
      <c r="R12" s="2"/>
      <c r="S12" s="2"/>
      <c r="T12" s="2"/>
    </row>
    <row r="13" spans="1:21" ht="15" thickBot="1" x14ac:dyDescent="0.35">
      <c r="B13" s="16" t="s">
        <v>18</v>
      </c>
      <c r="C13" s="31">
        <v>887619.98336940526</v>
      </c>
      <c r="D13" s="30">
        <v>364023.33958928147</v>
      </c>
      <c r="G13" s="57"/>
      <c r="H13" s="57"/>
      <c r="I13" s="57"/>
      <c r="L13" s="16" t="s">
        <v>18</v>
      </c>
      <c r="M13" s="4">
        <v>42207</v>
      </c>
      <c r="N13" s="17">
        <v>21242</v>
      </c>
      <c r="O13" s="15">
        <f t="shared" si="0"/>
        <v>0.49671855379439428</v>
      </c>
      <c r="P13" s="2"/>
      <c r="Q13" s="2"/>
      <c r="R13" s="2"/>
      <c r="S13" s="2"/>
      <c r="T13" s="2"/>
    </row>
    <row r="14" spans="1:21" x14ac:dyDescent="0.3">
      <c r="B14" s="16" t="s">
        <v>19</v>
      </c>
      <c r="C14" s="29">
        <v>306079.62282831641</v>
      </c>
      <c r="D14" s="30">
        <v>312760.05890792451</v>
      </c>
      <c r="G14" s="514" t="s">
        <v>20</v>
      </c>
      <c r="H14" s="515"/>
      <c r="I14" s="516"/>
      <c r="L14" s="16" t="s">
        <v>19</v>
      </c>
      <c r="M14" s="4">
        <v>6456.8333328241424</v>
      </c>
      <c r="N14" s="17">
        <v>6594.7488406649736</v>
      </c>
      <c r="O14" s="15">
        <f t="shared" si="0"/>
        <v>-2.1359620224316457E-2</v>
      </c>
      <c r="P14" s="2"/>
      <c r="Q14" s="2"/>
      <c r="R14" s="2"/>
      <c r="S14" s="2"/>
      <c r="T14" s="2"/>
    </row>
    <row r="15" spans="1:21" ht="15" thickBot="1" x14ac:dyDescent="0.35">
      <c r="B15" s="18" t="s">
        <v>21</v>
      </c>
      <c r="C15" s="32">
        <v>26108.601556958973</v>
      </c>
      <c r="D15" s="33">
        <v>19322.238034896222</v>
      </c>
      <c r="G15" s="517"/>
      <c r="H15" s="518"/>
      <c r="I15" s="519"/>
      <c r="L15" s="16" t="s">
        <v>22</v>
      </c>
      <c r="M15" s="4">
        <v>1779.3438974585022</v>
      </c>
      <c r="N15" s="17">
        <v>1154.4020818619222</v>
      </c>
      <c r="O15" s="15">
        <f t="shared" si="0"/>
        <v>0.3512203663885356</v>
      </c>
      <c r="P15" s="2"/>
      <c r="Q15" s="2"/>
      <c r="R15" s="2"/>
      <c r="S15" s="2"/>
      <c r="T15" s="2"/>
    </row>
    <row r="16" spans="1:21" ht="15" thickBot="1" x14ac:dyDescent="0.35">
      <c r="B16" s="20" t="s">
        <v>23</v>
      </c>
      <c r="C16" s="24">
        <v>2037903.4917911056</v>
      </c>
      <c r="D16" s="25">
        <v>1519192.7483498123</v>
      </c>
      <c r="G16" s="58" t="s">
        <v>24</v>
      </c>
      <c r="H16" s="59">
        <v>611371.0475373317</v>
      </c>
      <c r="I16" s="60" t="s">
        <v>25</v>
      </c>
      <c r="L16" s="21" t="s">
        <v>23</v>
      </c>
      <c r="M16" s="19">
        <f>SUM(M9:M15)</f>
        <v>76939.999839441487</v>
      </c>
      <c r="N16" s="22">
        <f>SUM(N9:N15)</f>
        <v>55924.87375207759</v>
      </c>
      <c r="O16" s="15">
        <f t="shared" si="0"/>
        <v>0.27313654966491158</v>
      </c>
      <c r="P16" s="2"/>
      <c r="Q16" s="2"/>
      <c r="R16" s="2"/>
      <c r="S16" s="2"/>
      <c r="T16" s="2"/>
    </row>
    <row r="17" spans="3:9" x14ac:dyDescent="0.3">
      <c r="G17" s="61" t="s">
        <v>26</v>
      </c>
      <c r="H17" s="62">
        <v>907821.70081248065</v>
      </c>
      <c r="I17" s="63" t="s">
        <v>25</v>
      </c>
    </row>
    <row r="18" spans="3:9" ht="15" thickBot="1" x14ac:dyDescent="0.35">
      <c r="G18" s="64" t="s">
        <v>27</v>
      </c>
      <c r="H18" s="65">
        <v>9.3415554564419043</v>
      </c>
      <c r="I18" s="66" t="s">
        <v>25</v>
      </c>
    </row>
    <row r="19" spans="3:9" x14ac:dyDescent="0.3">
      <c r="C19" s="23"/>
      <c r="D19" t="s">
        <v>28</v>
      </c>
    </row>
  </sheetData>
  <mergeCells count="1">
    <mergeCell ref="G14:I15"/>
  </mergeCells>
  <pageMargins left="0.7" right="0.7" top="0.75" bottom="0.75" header="0.3" footer="0.3"/>
  <pageSetup paperSize="13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AEE4A-3D6D-40CA-8F06-29AA7205FCB7}">
  <dimension ref="A1:P46"/>
  <sheetViews>
    <sheetView workbookViewId="0">
      <selection activeCell="B4" sqref="B4"/>
    </sheetView>
  </sheetViews>
  <sheetFormatPr defaultRowHeight="14.4" x14ac:dyDescent="0.3"/>
  <cols>
    <col min="2" max="2" width="42.44140625" customWidth="1"/>
    <col min="3" max="3" width="12" customWidth="1"/>
    <col min="4" max="4" width="12.6640625" customWidth="1"/>
    <col min="5" max="5" width="10.33203125" customWidth="1"/>
    <col min="6" max="6" width="23.109375" bestFit="1" customWidth="1"/>
    <col min="11" max="11" width="55.6640625" customWidth="1"/>
  </cols>
  <sheetData>
    <row r="1" spans="2:16" s="1" customFormat="1" ht="22.8" x14ac:dyDescent="0.4">
      <c r="B1" s="3" t="s">
        <v>22</v>
      </c>
      <c r="C1" s="112" t="s">
        <v>78</v>
      </c>
      <c r="K1" s="111"/>
    </row>
    <row r="3" spans="2:16" ht="15" thickBot="1" x14ac:dyDescent="0.35">
      <c r="B3" s="2"/>
      <c r="C3" s="2"/>
      <c r="D3" s="2"/>
    </row>
    <row r="4" spans="2:16" ht="15" thickBot="1" x14ac:dyDescent="0.35">
      <c r="B4" s="67" t="s">
        <v>76</v>
      </c>
      <c r="C4" s="92" t="s">
        <v>74</v>
      </c>
      <c r="D4" s="92" t="s">
        <v>75</v>
      </c>
      <c r="E4" s="92" t="s">
        <v>77</v>
      </c>
      <c r="F4" s="92" t="s">
        <v>73</v>
      </c>
    </row>
    <row r="5" spans="2:16" x14ac:dyDescent="0.3">
      <c r="B5" s="68" t="s">
        <v>39</v>
      </c>
      <c r="C5" s="104">
        <f>SUM(L23:L29)</f>
        <v>53.452218183887325</v>
      </c>
      <c r="D5" s="104">
        <f t="shared" ref="D5:F5" si="0">SUM(M23:M29)</f>
        <v>619.80375664132282</v>
      </c>
      <c r="E5" s="104">
        <f t="shared" si="0"/>
        <v>4.7372042141882522</v>
      </c>
      <c r="F5" s="104">
        <f t="shared" si="0"/>
        <v>16960.23299004506</v>
      </c>
    </row>
    <row r="6" spans="2:16" x14ac:dyDescent="0.3">
      <c r="B6" s="69" t="s">
        <v>40</v>
      </c>
      <c r="C6" s="105">
        <f>SUM(L28:L29)</f>
        <v>53.452218183887325</v>
      </c>
      <c r="D6" s="105">
        <f t="shared" ref="D6:F6" si="1">SUM(M28:M29)</f>
        <v>1.295647590780677</v>
      </c>
      <c r="E6" s="105">
        <f t="shared" si="1"/>
        <v>4.7536559555843599E-2</v>
      </c>
      <c r="F6" s="105">
        <f t="shared" si="1"/>
        <v>100.00930270104566</v>
      </c>
    </row>
    <row r="7" spans="2:16" x14ac:dyDescent="0.3">
      <c r="B7" s="69" t="s">
        <v>41</v>
      </c>
      <c r="C7" s="105">
        <f>SUM(L26:L27)</f>
        <v>0</v>
      </c>
      <c r="D7" s="105">
        <f>SUM(M26:M27)</f>
        <v>240.27973806685506</v>
      </c>
      <c r="E7" s="105">
        <f t="shared" ref="E7:F7" si="2">SUM(N26:N27)</f>
        <v>4.6896676546324088</v>
      </c>
      <c r="F7" s="105">
        <f t="shared" si="2"/>
        <v>7404.5144127518342</v>
      </c>
    </row>
    <row r="8" spans="2:16" x14ac:dyDescent="0.3">
      <c r="B8" s="69" t="s">
        <v>42</v>
      </c>
      <c r="C8" s="105">
        <f>SUM(L23:L25)</f>
        <v>0</v>
      </c>
      <c r="D8" s="105">
        <f t="shared" ref="D8:F8" si="3">SUM(M23:M25)</f>
        <v>378.22837098368706</v>
      </c>
      <c r="E8" s="105">
        <f t="shared" si="3"/>
        <v>0</v>
      </c>
      <c r="F8" s="105">
        <f t="shared" si="3"/>
        <v>9455.7092745921764</v>
      </c>
    </row>
    <row r="9" spans="2:16" x14ac:dyDescent="0.3">
      <c r="B9" s="70" t="s">
        <v>43</v>
      </c>
      <c r="C9" s="106">
        <f>SUM(L31:L33)</f>
        <v>0</v>
      </c>
      <c r="D9" s="106">
        <f t="shared" ref="D9:F9" si="4">SUM(M31:M33)</f>
        <v>33.982133233920692</v>
      </c>
      <c r="E9" s="106">
        <f t="shared" si="4"/>
        <v>3.9487568864393316</v>
      </c>
      <c r="F9" s="106">
        <f t="shared" si="4"/>
        <v>2026.2828830069379</v>
      </c>
    </row>
    <row r="10" spans="2:16" ht="15.75" customHeight="1" thickBot="1" x14ac:dyDescent="0.35">
      <c r="B10" s="71" t="s">
        <v>44</v>
      </c>
      <c r="C10" s="107">
        <f>SUM(L35:L36)</f>
        <v>301.28375486456719</v>
      </c>
      <c r="D10" s="107">
        <f t="shared" ref="D10:F10" si="5">SUM(M35:M36)</f>
        <v>1.3775362791863266</v>
      </c>
      <c r="E10" s="107">
        <f t="shared" si="5"/>
        <v>0</v>
      </c>
      <c r="F10" s="107">
        <f t="shared" si="5"/>
        <v>335.72216184422535</v>
      </c>
    </row>
    <row r="11" spans="2:16" ht="15" thickBot="1" x14ac:dyDescent="0.35">
      <c r="B11" s="72" t="s">
        <v>23</v>
      </c>
      <c r="C11" s="93">
        <f>C5+C9+C10</f>
        <v>354.73597304845453</v>
      </c>
      <c r="D11" s="93">
        <f t="shared" ref="D11:F11" si="6">D5+D9+D10</f>
        <v>655.16342615442977</v>
      </c>
      <c r="E11" s="93">
        <f t="shared" si="6"/>
        <v>8.6859611006275834</v>
      </c>
      <c r="F11" s="93">
        <f t="shared" si="6"/>
        <v>19322.238034896222</v>
      </c>
    </row>
    <row r="12" spans="2:16" ht="15.75" customHeight="1" x14ac:dyDescent="0.3">
      <c r="B12" s="2"/>
      <c r="C12" s="2"/>
      <c r="D12" s="2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</row>
    <row r="13" spans="2:16" x14ac:dyDescent="0.3">
      <c r="E13" s="531"/>
      <c r="F13" s="531"/>
      <c r="G13" s="531"/>
      <c r="H13" s="109"/>
      <c r="I13" s="74"/>
      <c r="J13" s="74"/>
      <c r="K13" s="2"/>
      <c r="L13" s="73"/>
      <c r="M13" s="73"/>
      <c r="N13" s="73"/>
      <c r="O13" s="73"/>
      <c r="P13" s="73"/>
    </row>
    <row r="14" spans="2:16" x14ac:dyDescent="0.3">
      <c r="E14" s="109"/>
      <c r="F14" s="109"/>
      <c r="G14" s="109"/>
      <c r="H14" s="110"/>
      <c r="I14" s="75"/>
      <c r="J14" s="75"/>
      <c r="K14" s="76" t="s">
        <v>54</v>
      </c>
      <c r="L14" s="73"/>
      <c r="M14" s="73"/>
      <c r="N14" s="73"/>
      <c r="O14" s="73"/>
      <c r="P14" s="73"/>
    </row>
    <row r="15" spans="2:16" ht="28.2" x14ac:dyDescent="0.3">
      <c r="E15" s="73"/>
      <c r="F15" s="73"/>
      <c r="G15" s="73"/>
      <c r="H15" s="73"/>
      <c r="I15" s="74"/>
      <c r="J15" s="74"/>
      <c r="K15" s="77" t="s">
        <v>55</v>
      </c>
      <c r="L15" s="73"/>
      <c r="M15" s="73"/>
      <c r="N15" s="73"/>
      <c r="O15" s="73"/>
      <c r="P15" s="73"/>
    </row>
    <row r="16" spans="2:16" x14ac:dyDescent="0.3">
      <c r="E16" s="73"/>
      <c r="F16" s="73"/>
      <c r="G16" s="73"/>
      <c r="H16" s="74"/>
      <c r="I16" s="74"/>
      <c r="J16" s="74"/>
      <c r="K16" s="76" t="s">
        <v>56</v>
      </c>
      <c r="L16" s="73"/>
      <c r="M16" s="73"/>
      <c r="N16" s="73"/>
      <c r="O16" s="73"/>
      <c r="P16" s="73"/>
    </row>
    <row r="17" spans="5:16" x14ac:dyDescent="0.3">
      <c r="E17" s="73"/>
      <c r="F17" s="73"/>
      <c r="G17" s="73"/>
      <c r="H17" s="74"/>
      <c r="I17" s="74"/>
      <c r="J17" s="74"/>
      <c r="K17" s="73"/>
      <c r="L17" s="73"/>
      <c r="M17" s="73"/>
      <c r="N17" s="73"/>
      <c r="O17" s="73"/>
      <c r="P17" s="73"/>
    </row>
    <row r="18" spans="5:16" x14ac:dyDescent="0.3"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</row>
    <row r="19" spans="5:16" x14ac:dyDescent="0.3"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</row>
    <row r="20" spans="5:16" ht="15" thickBot="1" x14ac:dyDescent="0.35">
      <c r="E20" s="73"/>
      <c r="F20" s="532" t="s">
        <v>45</v>
      </c>
      <c r="G20" s="532"/>
      <c r="H20" s="532"/>
      <c r="I20" s="532"/>
      <c r="J20" s="532"/>
      <c r="K20" s="78" t="s">
        <v>57</v>
      </c>
      <c r="L20" s="532" t="s">
        <v>25</v>
      </c>
      <c r="M20" s="532"/>
      <c r="N20" s="532"/>
      <c r="O20" s="532"/>
      <c r="P20" s="73"/>
    </row>
    <row r="21" spans="5:16" ht="108.75" customHeight="1" thickBot="1" x14ac:dyDescent="0.35">
      <c r="E21" s="73"/>
      <c r="F21" s="80" t="s">
        <v>85</v>
      </c>
      <c r="G21" s="81" t="s">
        <v>50</v>
      </c>
      <c r="H21" s="81" t="s">
        <v>86</v>
      </c>
      <c r="I21" s="81" t="s">
        <v>87</v>
      </c>
      <c r="J21" s="81" t="s">
        <v>88</v>
      </c>
      <c r="K21" s="82"/>
      <c r="L21" s="83" t="s">
        <v>70</v>
      </c>
      <c r="M21" s="81" t="s">
        <v>71</v>
      </c>
      <c r="N21" s="81" t="s">
        <v>72</v>
      </c>
      <c r="O21" s="84" t="s">
        <v>73</v>
      </c>
      <c r="P21" s="73"/>
    </row>
    <row r="22" spans="5:16" x14ac:dyDescent="0.3">
      <c r="E22" s="536"/>
      <c r="F22" s="533" t="s">
        <v>46</v>
      </c>
      <c r="G22" s="534"/>
      <c r="H22" s="534"/>
      <c r="I22" s="534"/>
      <c r="J22" s="534"/>
      <c r="K22" s="534"/>
      <c r="L22" s="534"/>
      <c r="M22" s="534"/>
      <c r="N22" s="534"/>
      <c r="O22" s="535"/>
      <c r="P22" s="73"/>
    </row>
    <row r="23" spans="5:16" x14ac:dyDescent="0.3">
      <c r="E23" s="536"/>
      <c r="F23" s="94"/>
      <c r="G23" s="95"/>
      <c r="H23" s="95"/>
      <c r="I23" s="95"/>
      <c r="J23" s="95">
        <v>11800.182628024178</v>
      </c>
      <c r="K23" s="96" t="s">
        <v>58</v>
      </c>
      <c r="L23" s="97"/>
      <c r="M23" s="97">
        <f>J23*0.0320328274979</f>
        <v>377.99321456721475</v>
      </c>
      <c r="N23" s="97"/>
      <c r="O23" s="98">
        <f>L23+M23*$C$45+N23*$C$46</f>
        <v>9449.8303641803686</v>
      </c>
      <c r="P23" s="73"/>
    </row>
    <row r="24" spans="5:16" x14ac:dyDescent="0.3">
      <c r="E24" s="536"/>
      <c r="F24" s="99"/>
      <c r="G24" s="95"/>
      <c r="H24" s="95"/>
      <c r="I24" s="95"/>
      <c r="J24" s="95">
        <v>9.5739940048945797</v>
      </c>
      <c r="K24" s="96" t="s">
        <v>59</v>
      </c>
      <c r="L24" s="97"/>
      <c r="M24" s="97">
        <f>J24*0.02456199746439</f>
        <v>0.23515641647230573</v>
      </c>
      <c r="N24" s="97"/>
      <c r="O24" s="98">
        <f t="shared" ref="O24:O29" si="7">L24+M24*$C$45+N24*$C$46</f>
        <v>5.8789104118076434</v>
      </c>
      <c r="P24" s="73"/>
    </row>
    <row r="25" spans="5:16" x14ac:dyDescent="0.3">
      <c r="E25" s="536"/>
      <c r="F25" s="99"/>
      <c r="G25" s="95"/>
      <c r="H25" s="95"/>
      <c r="I25" s="95"/>
      <c r="J25" s="95" t="s">
        <v>53</v>
      </c>
      <c r="K25" s="96" t="s">
        <v>60</v>
      </c>
      <c r="L25" s="97"/>
      <c r="M25" s="97"/>
      <c r="N25" s="97"/>
      <c r="O25" s="98">
        <f t="shared" si="7"/>
        <v>0</v>
      </c>
      <c r="P25" s="73"/>
    </row>
    <row r="26" spans="5:16" ht="16.2" x14ac:dyDescent="0.3">
      <c r="E26" s="536"/>
      <c r="F26" s="99"/>
      <c r="G26" s="95"/>
      <c r="H26" s="95"/>
      <c r="I26" s="95" t="s">
        <v>52</v>
      </c>
      <c r="J26" s="95"/>
      <c r="K26" s="96" t="s">
        <v>61</v>
      </c>
      <c r="L26" s="97"/>
      <c r="M26" s="97">
        <v>71.506257895059235</v>
      </c>
      <c r="N26" s="97">
        <v>4.6896676546324088</v>
      </c>
      <c r="O26" s="98">
        <f t="shared" si="7"/>
        <v>3185.1774084569388</v>
      </c>
      <c r="P26" s="73"/>
    </row>
    <row r="27" spans="5:16" ht="16.8" x14ac:dyDescent="0.3">
      <c r="E27" s="73"/>
      <c r="F27" s="94"/>
      <c r="G27" s="100"/>
      <c r="H27" s="100"/>
      <c r="I27" s="100" t="s">
        <v>51</v>
      </c>
      <c r="J27" s="100"/>
      <c r="K27" s="96" t="s">
        <v>62</v>
      </c>
      <c r="L27" s="100"/>
      <c r="M27" s="100">
        <v>168.77348017179582</v>
      </c>
      <c r="N27" s="100"/>
      <c r="O27" s="98">
        <f t="shared" si="7"/>
        <v>4219.3370042948955</v>
      </c>
      <c r="P27" s="73"/>
    </row>
    <row r="28" spans="5:16" x14ac:dyDescent="0.3">
      <c r="E28" s="73"/>
      <c r="F28" s="94"/>
      <c r="G28" s="100"/>
      <c r="H28" s="100">
        <v>80.095505343891574</v>
      </c>
      <c r="I28" s="100"/>
      <c r="J28" s="100"/>
      <c r="K28" s="96" t="s">
        <v>63</v>
      </c>
      <c r="L28" s="100">
        <f>H28*293.592485784684/1000</f>
        <v>23.515438514093571</v>
      </c>
      <c r="M28" s="100">
        <f>H28*0.3961232910573/1000</f>
        <v>3.172769517571989E-2</v>
      </c>
      <c r="N28" s="100">
        <f>H28*0.22934092581936/1000</f>
        <v>1.836917734953759E-2</v>
      </c>
      <c r="O28" s="98">
        <f t="shared" si="7"/>
        <v>29.782645743648771</v>
      </c>
      <c r="P28" s="73"/>
    </row>
    <row r="29" spans="5:16" x14ac:dyDescent="0.3">
      <c r="E29" s="73"/>
      <c r="F29" s="94"/>
      <c r="G29" s="100"/>
      <c r="H29" s="100">
        <v>194.44921470844747</v>
      </c>
      <c r="I29" s="100"/>
      <c r="J29" s="100"/>
      <c r="K29" s="96" t="s">
        <v>64</v>
      </c>
      <c r="L29" s="100">
        <f>H29*153.956804169563/1000</f>
        <v>29.936779669793754</v>
      </c>
      <c r="M29" s="100">
        <f>H29*6.50000000000025/1000</f>
        <v>1.2639198956049571</v>
      </c>
      <c r="N29" s="100">
        <f>H29*0.1500000000002/1000</f>
        <v>2.9167382206306013E-2</v>
      </c>
      <c r="O29" s="98">
        <f t="shared" si="7"/>
        <v>70.226656957396884</v>
      </c>
      <c r="P29" s="73"/>
    </row>
    <row r="30" spans="5:16" x14ac:dyDescent="0.3">
      <c r="E30" s="73"/>
      <c r="F30" s="520" t="s">
        <v>47</v>
      </c>
      <c r="G30" s="521"/>
      <c r="H30" s="521"/>
      <c r="I30" s="521"/>
      <c r="J30" s="521"/>
      <c r="K30" s="521"/>
      <c r="L30" s="521"/>
      <c r="M30" s="521"/>
      <c r="N30" s="521"/>
      <c r="O30" s="522"/>
      <c r="P30" s="73"/>
    </row>
    <row r="31" spans="5:16" ht="16.8" x14ac:dyDescent="0.3">
      <c r="E31" s="73"/>
      <c r="F31" s="94"/>
      <c r="G31" s="100" t="s">
        <v>51</v>
      </c>
      <c r="H31" s="100"/>
      <c r="I31" s="100"/>
      <c r="J31" s="100"/>
      <c r="K31" s="96" t="s">
        <v>65</v>
      </c>
      <c r="L31" s="100"/>
      <c r="M31" s="100">
        <v>33.982133233920692</v>
      </c>
      <c r="N31" s="100">
        <v>3.3659251532391585</v>
      </c>
      <c r="O31" s="98">
        <f>L31+M31*$C$45+N31*$C$46</f>
        <v>1852.5990265132864</v>
      </c>
      <c r="P31" s="73"/>
    </row>
    <row r="32" spans="5:16" ht="16.8" x14ac:dyDescent="0.3">
      <c r="E32" s="73"/>
      <c r="F32" s="94"/>
      <c r="G32" s="100" t="s">
        <v>51</v>
      </c>
      <c r="H32" s="100"/>
      <c r="I32" s="100"/>
      <c r="J32" s="100"/>
      <c r="K32" s="96" t="s">
        <v>66</v>
      </c>
      <c r="L32" s="100"/>
      <c r="M32" s="100"/>
      <c r="N32" s="100">
        <v>0.58283173320017312</v>
      </c>
      <c r="O32" s="98">
        <f t="shared" ref="O32:O33" si="8">L32+M32*$C$45+N32*$C$46</f>
        <v>173.6838564936516</v>
      </c>
      <c r="P32" s="73"/>
    </row>
    <row r="33" spans="1:16" ht="16.8" x14ac:dyDescent="0.3">
      <c r="E33" s="73"/>
      <c r="F33" s="94"/>
      <c r="G33" s="100" t="s">
        <v>51</v>
      </c>
      <c r="H33" s="100"/>
      <c r="I33" s="100"/>
      <c r="J33" s="100"/>
      <c r="K33" s="96" t="s">
        <v>67</v>
      </c>
      <c r="L33" s="100"/>
      <c r="M33" s="100"/>
      <c r="N33" s="100"/>
      <c r="O33" s="98">
        <f t="shared" si="8"/>
        <v>0</v>
      </c>
      <c r="P33" s="73"/>
    </row>
    <row r="34" spans="1:16" x14ac:dyDescent="0.3">
      <c r="E34" s="73"/>
      <c r="F34" s="520" t="s">
        <v>48</v>
      </c>
      <c r="G34" s="521"/>
      <c r="H34" s="521"/>
      <c r="I34" s="521"/>
      <c r="J34" s="521"/>
      <c r="K34" s="521"/>
      <c r="L34" s="521"/>
      <c r="M34" s="521"/>
      <c r="N34" s="521"/>
      <c r="O34" s="522"/>
      <c r="P34" s="73"/>
    </row>
    <row r="35" spans="1:16" x14ac:dyDescent="0.3">
      <c r="E35" s="73"/>
      <c r="F35" s="94">
        <v>146</v>
      </c>
      <c r="G35" s="100"/>
      <c r="H35" s="100"/>
      <c r="I35" s="100"/>
      <c r="J35" s="100"/>
      <c r="K35" s="96" t="s">
        <v>68</v>
      </c>
      <c r="L35" s="100">
        <v>197.50823930010515</v>
      </c>
      <c r="M35" s="100">
        <v>1.1599424562285836</v>
      </c>
      <c r="N35" s="100"/>
      <c r="O35" s="98">
        <f>L35+M35*$C$45+N35*$C$46</f>
        <v>226.50680070581973</v>
      </c>
      <c r="P35" s="73"/>
    </row>
    <row r="36" spans="1:16" ht="15" thickBot="1" x14ac:dyDescent="0.35">
      <c r="E36" s="73"/>
      <c r="F36" s="101">
        <v>64</v>
      </c>
      <c r="G36" s="102"/>
      <c r="H36" s="102"/>
      <c r="I36" s="102"/>
      <c r="J36" s="102"/>
      <c r="K36" s="103" t="s">
        <v>69</v>
      </c>
      <c r="L36" s="102">
        <v>103.77551556446204</v>
      </c>
      <c r="M36" s="102">
        <v>0.21759382295774296</v>
      </c>
      <c r="N36" s="102"/>
      <c r="O36" s="98">
        <f>L36+M36*$C$45+N36*$C$46</f>
        <v>109.21536113840561</v>
      </c>
      <c r="P36" s="73"/>
    </row>
    <row r="37" spans="1:16" ht="15" thickBot="1" x14ac:dyDescent="0.35">
      <c r="E37" s="73"/>
      <c r="F37" s="85">
        <f t="shared" ref="F37:J37" si="9">SUM(F22:F36)</f>
        <v>210</v>
      </c>
      <c r="G37" s="86">
        <f t="shared" si="9"/>
        <v>0</v>
      </c>
      <c r="H37" s="86">
        <f t="shared" si="9"/>
        <v>274.54472005233902</v>
      </c>
      <c r="I37" s="86">
        <f t="shared" si="9"/>
        <v>0</v>
      </c>
      <c r="J37" s="86">
        <f t="shared" si="9"/>
        <v>11809.756622029074</v>
      </c>
      <c r="K37" s="87" t="s">
        <v>23</v>
      </c>
      <c r="L37" s="88">
        <f>SUM(L22:L36)</f>
        <v>354.73597304845453</v>
      </c>
      <c r="M37" s="89">
        <f>SUM(M22:M36)</f>
        <v>655.16342615442977</v>
      </c>
      <c r="N37" s="89">
        <f>SUM(N22:N36)</f>
        <v>8.6859611006275834</v>
      </c>
      <c r="O37" s="90">
        <f>SUM(O22:O36)</f>
        <v>19322.238034896222</v>
      </c>
      <c r="P37" s="73"/>
    </row>
    <row r="38" spans="1:16" ht="16.8" x14ac:dyDescent="0.3">
      <c r="E38" s="73"/>
      <c r="F38" s="91" t="s">
        <v>49</v>
      </c>
      <c r="G38" s="73"/>
      <c r="H38" s="73"/>
      <c r="I38" s="73"/>
      <c r="J38" s="73"/>
      <c r="K38" s="73"/>
      <c r="L38" s="73"/>
      <c r="M38" s="73"/>
      <c r="N38" s="73"/>
      <c r="O38" s="73"/>
      <c r="P38" s="73"/>
    </row>
    <row r="39" spans="1:16" ht="16.8" x14ac:dyDescent="0.3">
      <c r="E39" s="73"/>
      <c r="F39" s="91"/>
      <c r="G39" s="73"/>
      <c r="H39" s="73"/>
      <c r="I39" s="73"/>
      <c r="J39" s="73"/>
      <c r="K39" s="73"/>
      <c r="L39" s="73"/>
      <c r="M39" s="73"/>
      <c r="N39" s="73"/>
      <c r="O39" s="73"/>
      <c r="P39" s="73"/>
    </row>
    <row r="41" spans="1:16" ht="24.75" customHeight="1" x14ac:dyDescent="0.5">
      <c r="A41" s="113"/>
      <c r="B41" s="114" t="s">
        <v>84</v>
      </c>
      <c r="C41" s="113"/>
      <c r="D41" s="113"/>
      <c r="E41" s="113"/>
      <c r="F41" s="113"/>
    </row>
    <row r="42" spans="1:16" ht="15" thickBot="1" x14ac:dyDescent="0.35"/>
    <row r="43" spans="1:16" ht="15" thickBot="1" x14ac:dyDescent="0.35">
      <c r="B43" s="118" t="s">
        <v>79</v>
      </c>
      <c r="C43" s="523" t="s">
        <v>83</v>
      </c>
      <c r="D43" s="523"/>
      <c r="E43" s="523"/>
      <c r="F43" s="524"/>
    </row>
    <row r="44" spans="1:16" x14ac:dyDescent="0.3">
      <c r="B44" s="117" t="s">
        <v>80</v>
      </c>
      <c r="C44" s="525">
        <v>1</v>
      </c>
      <c r="D44" s="525"/>
      <c r="E44" s="525"/>
      <c r="F44" s="526"/>
    </row>
    <row r="45" spans="1:16" x14ac:dyDescent="0.3">
      <c r="B45" s="115" t="s">
        <v>81</v>
      </c>
      <c r="C45" s="527">
        <v>25</v>
      </c>
      <c r="D45" s="527"/>
      <c r="E45" s="527"/>
      <c r="F45" s="528"/>
    </row>
    <row r="46" spans="1:16" ht="15" thickBot="1" x14ac:dyDescent="0.35">
      <c r="B46" s="116" t="s">
        <v>82</v>
      </c>
      <c r="C46" s="529">
        <v>298</v>
      </c>
      <c r="D46" s="529"/>
      <c r="E46" s="529"/>
      <c r="F46" s="530"/>
    </row>
  </sheetData>
  <mergeCells count="11">
    <mergeCell ref="F30:O30"/>
    <mergeCell ref="E13:G13"/>
    <mergeCell ref="F20:J20"/>
    <mergeCell ref="L20:O20"/>
    <mergeCell ref="F22:O22"/>
    <mergeCell ref="E22:E26"/>
    <mergeCell ref="F34:O34"/>
    <mergeCell ref="C43:F43"/>
    <mergeCell ref="C44:F44"/>
    <mergeCell ref="C45:F45"/>
    <mergeCell ref="C46:F4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39665-16CF-42CA-A3ED-93550536014E}">
  <dimension ref="A1:AV124"/>
  <sheetViews>
    <sheetView workbookViewId="0">
      <selection activeCell="F4" sqref="F4"/>
    </sheetView>
  </sheetViews>
  <sheetFormatPr defaultRowHeight="14.4" x14ac:dyDescent="0.3"/>
  <cols>
    <col min="2" max="2" width="46.44140625" customWidth="1"/>
    <col min="3" max="3" width="12" customWidth="1"/>
    <col min="4" max="4" width="22.33203125" bestFit="1" customWidth="1"/>
    <col min="6" max="7" width="10.109375" bestFit="1" customWidth="1"/>
    <col min="10" max="10" width="10.109375" bestFit="1" customWidth="1"/>
    <col min="13" max="13" width="10.109375" bestFit="1" customWidth="1"/>
    <col min="15" max="15" width="13.44140625" bestFit="1" customWidth="1"/>
    <col min="16" max="17" width="10.109375" bestFit="1" customWidth="1"/>
    <col min="20" max="20" width="11.33203125" bestFit="1" customWidth="1"/>
    <col min="21" max="22" width="13.44140625" bestFit="1" customWidth="1"/>
    <col min="23" max="23" width="10.6640625" customWidth="1"/>
    <col min="26" max="26" width="7.33203125" bestFit="1" customWidth="1"/>
    <col min="27" max="27" width="11.33203125" bestFit="1" customWidth="1"/>
    <col min="28" max="28" width="13.44140625" bestFit="1" customWidth="1"/>
    <col min="29" max="29" width="51.33203125" customWidth="1"/>
  </cols>
  <sheetData>
    <row r="1" spans="2:14" s="1" customFormat="1" ht="22.8" x14ac:dyDescent="0.4">
      <c r="B1" s="3" t="s">
        <v>296</v>
      </c>
      <c r="F1" s="112" t="s">
        <v>78</v>
      </c>
    </row>
    <row r="2" spans="2:14" ht="15" thickBot="1" x14ac:dyDescent="0.35"/>
    <row r="3" spans="2:14" ht="31.2" thickBot="1" x14ac:dyDescent="0.35">
      <c r="B3" s="5" t="s">
        <v>129</v>
      </c>
      <c r="C3" s="192">
        <v>2018</v>
      </c>
      <c r="D3" s="2"/>
    </row>
    <row r="4" spans="2:14" x14ac:dyDescent="0.3">
      <c r="B4" s="193" t="s">
        <v>130</v>
      </c>
      <c r="C4" s="194">
        <f>AH73</f>
        <v>221630.63684226442</v>
      </c>
      <c r="D4" s="2"/>
    </row>
    <row r="5" spans="2:14" x14ac:dyDescent="0.3">
      <c r="B5" s="195" t="s">
        <v>131</v>
      </c>
      <c r="C5" s="196">
        <f>SUBTOTAL(9,AH74:AH86)</f>
        <v>140521.64227716159</v>
      </c>
      <c r="D5" s="2"/>
    </row>
    <row r="6" spans="2:14" x14ac:dyDescent="0.3">
      <c r="B6" s="195" t="s">
        <v>132</v>
      </c>
      <c r="C6" s="196">
        <f>AH102</f>
        <v>30514.433714285715</v>
      </c>
      <c r="D6" s="2"/>
      <c r="N6" s="137"/>
    </row>
    <row r="7" spans="2:14" x14ac:dyDescent="0.3">
      <c r="B7" s="195" t="s">
        <v>133</v>
      </c>
      <c r="C7" s="196">
        <f>AH108</f>
        <v>6163.4922800000004</v>
      </c>
      <c r="D7" s="2"/>
    </row>
    <row r="8" spans="2:14" x14ac:dyDescent="0.3">
      <c r="B8" s="195" t="s">
        <v>134</v>
      </c>
      <c r="C8" s="196">
        <f>AH109</f>
        <v>13273.381793571429</v>
      </c>
      <c r="D8" s="2"/>
    </row>
    <row r="9" spans="2:14" x14ac:dyDescent="0.3">
      <c r="B9" s="195" t="s">
        <v>135</v>
      </c>
      <c r="C9" s="196">
        <f>AH104</f>
        <v>31.15973142857143</v>
      </c>
      <c r="D9" s="2"/>
    </row>
    <row r="10" spans="2:14" x14ac:dyDescent="0.3">
      <c r="B10" s="195" t="s">
        <v>136</v>
      </c>
      <c r="C10" s="196">
        <f>AH99</f>
        <v>17851.109660660994</v>
      </c>
      <c r="D10" s="2"/>
    </row>
    <row r="11" spans="2:14" x14ac:dyDescent="0.3">
      <c r="B11" s="195" t="s">
        <v>137</v>
      </c>
      <c r="C11" s="196">
        <f>AH105</f>
        <v>28161.120051428574</v>
      </c>
      <c r="D11" s="2"/>
    </row>
    <row r="12" spans="2:14" x14ac:dyDescent="0.3">
      <c r="B12" s="195" t="s">
        <v>258</v>
      </c>
      <c r="C12" s="196">
        <f>AH106</f>
        <v>42630.244831428565</v>
      </c>
      <c r="D12" s="2"/>
    </row>
    <row r="13" spans="2:14" x14ac:dyDescent="0.3">
      <c r="B13" s="195" t="s">
        <v>138</v>
      </c>
      <c r="C13" s="196">
        <f>AH107</f>
        <v>7593.6662930232778</v>
      </c>
      <c r="D13" s="2"/>
    </row>
    <row r="14" spans="2:14" ht="15" thickBot="1" x14ac:dyDescent="0.35">
      <c r="B14" s="197" t="s">
        <v>139</v>
      </c>
      <c r="C14" s="198">
        <f>SUM(AH110:AH112)</f>
        <v>7066.9565330650403</v>
      </c>
      <c r="D14" s="2"/>
    </row>
    <row r="15" spans="2:14" ht="15" thickBot="1" x14ac:dyDescent="0.35">
      <c r="B15" s="72" t="s">
        <v>23</v>
      </c>
      <c r="C15" s="199">
        <f>SUM(C4:C14)</f>
        <v>515437.84400831821</v>
      </c>
      <c r="D15" s="2"/>
    </row>
    <row r="16" spans="2:14" x14ac:dyDescent="0.3">
      <c r="B16" s="200" t="s">
        <v>140</v>
      </c>
      <c r="C16" s="2"/>
      <c r="D16" s="2"/>
    </row>
    <row r="17" spans="2:4" x14ac:dyDescent="0.3">
      <c r="B17" s="73" t="s">
        <v>141</v>
      </c>
      <c r="C17" s="2"/>
      <c r="D17" s="2"/>
    </row>
    <row r="18" spans="2:4" x14ac:dyDescent="0.3">
      <c r="B18" s="2"/>
      <c r="C18" s="2"/>
      <c r="D18" s="201"/>
    </row>
    <row r="19" spans="2:4" ht="15" thickBot="1" x14ac:dyDescent="0.35"/>
    <row r="20" spans="2:4" ht="41.4" x14ac:dyDescent="0.35">
      <c r="B20" s="222" t="s">
        <v>170</v>
      </c>
      <c r="C20" s="225" t="s">
        <v>15</v>
      </c>
      <c r="D20" s="224" t="s">
        <v>171</v>
      </c>
    </row>
    <row r="21" spans="2:4" x14ac:dyDescent="0.3">
      <c r="B21" s="207" t="s">
        <v>90</v>
      </c>
      <c r="C21" s="4">
        <f>AH73</f>
        <v>221630.63684226442</v>
      </c>
      <c r="D21" s="196"/>
    </row>
    <row r="22" spans="2:4" x14ac:dyDescent="0.3">
      <c r="B22" s="207" t="s">
        <v>172</v>
      </c>
      <c r="C22" s="4">
        <f>SUM(AF74:AF80)*C124</f>
        <v>47842.500873512152</v>
      </c>
      <c r="D22" s="196"/>
    </row>
    <row r="23" spans="2:4" x14ac:dyDescent="0.3">
      <c r="B23" s="207" t="s">
        <v>173</v>
      </c>
      <c r="C23" s="4">
        <f>SUM(AE74:AE80)*C123</f>
        <v>94851.392674572649</v>
      </c>
      <c r="D23" s="196"/>
    </row>
    <row r="24" spans="2:4" x14ac:dyDescent="0.3">
      <c r="B24" s="207" t="s">
        <v>98</v>
      </c>
      <c r="C24" s="220"/>
      <c r="D24" s="196">
        <f>AH81*-1</f>
        <v>411.77464261330255</v>
      </c>
    </row>
    <row r="25" spans="2:4" x14ac:dyDescent="0.3">
      <c r="B25" s="207" t="s">
        <v>99</v>
      </c>
      <c r="C25" s="220"/>
      <c r="D25" s="196">
        <f>AH82*-1</f>
        <v>1492.1575630754826</v>
      </c>
    </row>
    <row r="26" spans="2:4" x14ac:dyDescent="0.3">
      <c r="B26" s="207" t="s">
        <v>174</v>
      </c>
      <c r="C26" s="220"/>
      <c r="D26" s="196">
        <f t="shared" ref="D26:D29" si="0">AH83*-1</f>
        <v>57.086654064574141</v>
      </c>
    </row>
    <row r="27" spans="2:4" x14ac:dyDescent="0.3">
      <c r="B27" s="207" t="s">
        <v>175</v>
      </c>
      <c r="C27" s="220"/>
      <c r="D27" s="196">
        <f t="shared" si="0"/>
        <v>19.373871531489915</v>
      </c>
    </row>
    <row r="28" spans="2:4" x14ac:dyDescent="0.3">
      <c r="B28" s="207" t="s">
        <v>176</v>
      </c>
      <c r="C28" s="220"/>
      <c r="D28" s="196">
        <f t="shared" si="0"/>
        <v>0</v>
      </c>
    </row>
    <row r="29" spans="2:4" ht="15" thickBot="1" x14ac:dyDescent="0.35">
      <c r="B29" s="208" t="s">
        <v>177</v>
      </c>
      <c r="C29" s="226"/>
      <c r="D29" s="196">
        <f t="shared" si="0"/>
        <v>191.85853963833151</v>
      </c>
    </row>
    <row r="31" spans="2:4" ht="15" thickBot="1" x14ac:dyDescent="0.35"/>
    <row r="32" spans="2:4" ht="15" thickBot="1" x14ac:dyDescent="0.35">
      <c r="B32" s="5" t="s">
        <v>178</v>
      </c>
      <c r="C32" s="221">
        <v>2018</v>
      </c>
    </row>
    <row r="33" spans="2:3" x14ac:dyDescent="0.3">
      <c r="B33" s="193" t="s">
        <v>179</v>
      </c>
      <c r="C33" s="194">
        <f>E99</f>
        <v>6297.55</v>
      </c>
    </row>
    <row r="34" spans="2:3" x14ac:dyDescent="0.3">
      <c r="B34" s="195" t="s">
        <v>180</v>
      </c>
      <c r="C34" s="196">
        <f>F99</f>
        <v>270.18</v>
      </c>
    </row>
    <row r="35" spans="2:3" x14ac:dyDescent="0.3">
      <c r="B35" s="195" t="s">
        <v>181</v>
      </c>
      <c r="C35" s="196">
        <f>G99</f>
        <v>5616.96</v>
      </c>
    </row>
    <row r="36" spans="2:3" x14ac:dyDescent="0.3">
      <c r="B36" s="195" t="s">
        <v>182</v>
      </c>
      <c r="C36" s="196">
        <f>H99</f>
        <v>2754.16</v>
      </c>
    </row>
    <row r="37" spans="2:3" x14ac:dyDescent="0.3">
      <c r="B37" s="195" t="s">
        <v>183</v>
      </c>
      <c r="C37" s="196">
        <f>I99</f>
        <v>18558.27</v>
      </c>
    </row>
    <row r="38" spans="2:3" x14ac:dyDescent="0.3">
      <c r="B38" s="195" t="s">
        <v>184</v>
      </c>
      <c r="C38" s="196">
        <f>J99</f>
        <v>1784.1200000000001</v>
      </c>
    </row>
    <row r="39" spans="2:3" x14ac:dyDescent="0.3">
      <c r="B39" s="195" t="s">
        <v>185</v>
      </c>
      <c r="C39" s="196">
        <f>K99</f>
        <v>444.36</v>
      </c>
    </row>
    <row r="40" spans="2:3" x14ac:dyDescent="0.3">
      <c r="B40" s="195" t="s">
        <v>186</v>
      </c>
      <c r="C40" s="196">
        <f>L99</f>
        <v>317.91000000000003</v>
      </c>
    </row>
    <row r="41" spans="2:3" x14ac:dyDescent="0.3">
      <c r="B41" s="195" t="s">
        <v>187</v>
      </c>
      <c r="C41" s="196">
        <f>M99</f>
        <v>2212.98</v>
      </c>
    </row>
    <row r="42" spans="2:3" x14ac:dyDescent="0.3">
      <c r="B42" s="195" t="s">
        <v>188</v>
      </c>
      <c r="C42" s="196">
        <f>N99</f>
        <v>22.87</v>
      </c>
    </row>
    <row r="43" spans="2:3" x14ac:dyDescent="0.3">
      <c r="B43" s="195" t="s">
        <v>189</v>
      </c>
      <c r="C43" s="196">
        <f>O99</f>
        <v>1103.18</v>
      </c>
    </row>
    <row r="44" spans="2:3" x14ac:dyDescent="0.3">
      <c r="B44" s="195" t="s">
        <v>190</v>
      </c>
      <c r="C44" s="196">
        <f>P99</f>
        <v>174.34</v>
      </c>
    </row>
    <row r="45" spans="2:3" x14ac:dyDescent="0.3">
      <c r="B45" s="195" t="s">
        <v>191</v>
      </c>
      <c r="C45" s="196">
        <f>Q99</f>
        <v>11950.26</v>
      </c>
    </row>
    <row r="46" spans="2:3" x14ac:dyDescent="0.3">
      <c r="B46" s="195" t="s">
        <v>192</v>
      </c>
      <c r="C46" s="196">
        <f>R99</f>
        <v>12616.34</v>
      </c>
    </row>
    <row r="47" spans="2:3" x14ac:dyDescent="0.3">
      <c r="B47" s="195" t="s">
        <v>193</v>
      </c>
      <c r="C47" s="196">
        <f>S99</f>
        <v>8297.16</v>
      </c>
    </row>
    <row r="48" spans="2:3" ht="15" thickBot="1" x14ac:dyDescent="0.35">
      <c r="B48" s="203" t="s">
        <v>194</v>
      </c>
      <c r="C48" s="204">
        <f>T99</f>
        <v>3760.2799999999997</v>
      </c>
    </row>
    <row r="49" spans="2:4" ht="15" thickBot="1" x14ac:dyDescent="0.35">
      <c r="B49" s="227" t="s">
        <v>195</v>
      </c>
      <c r="C49" s="199">
        <f>SUM(C33:C48)-C46-C47</f>
        <v>55267.420000000013</v>
      </c>
    </row>
    <row r="51" spans="2:4" ht="15" thickBot="1" x14ac:dyDescent="0.35"/>
    <row r="52" spans="2:4" ht="27.6" x14ac:dyDescent="0.35">
      <c r="B52" s="222" t="s">
        <v>196</v>
      </c>
      <c r="C52" s="223" t="s">
        <v>197</v>
      </c>
      <c r="D52" s="267" t="s">
        <v>198</v>
      </c>
    </row>
    <row r="53" spans="2:4" x14ac:dyDescent="0.3">
      <c r="B53" s="195" t="s">
        <v>199</v>
      </c>
      <c r="C53" s="4">
        <f>AH99</f>
        <v>17851.109660660994</v>
      </c>
      <c r="D53" s="196"/>
    </row>
    <row r="54" spans="2:4" x14ac:dyDescent="0.3">
      <c r="B54" s="195" t="s">
        <v>200</v>
      </c>
      <c r="C54" s="4"/>
      <c r="D54" s="196">
        <f>AH100</f>
        <v>0</v>
      </c>
    </row>
    <row r="55" spans="2:4" x14ac:dyDescent="0.3">
      <c r="B55" s="195" t="s">
        <v>201</v>
      </c>
      <c r="C55" s="4">
        <f>AH102</f>
        <v>30514.433714285715</v>
      </c>
      <c r="D55" s="196"/>
    </row>
    <row r="56" spans="2:4" x14ac:dyDescent="0.3">
      <c r="B56" s="195" t="s">
        <v>202</v>
      </c>
      <c r="C56" s="4"/>
      <c r="D56" s="196">
        <f>-1*AH103</f>
        <v>2943.2646885714289</v>
      </c>
    </row>
    <row r="57" spans="2:4" x14ac:dyDescent="0.3">
      <c r="B57" s="195" t="s">
        <v>203</v>
      </c>
      <c r="C57" s="4">
        <f t="shared" ref="C57:C65" si="1">AH104</f>
        <v>31.15973142857143</v>
      </c>
      <c r="D57" s="196"/>
    </row>
    <row r="58" spans="2:4" x14ac:dyDescent="0.3">
      <c r="B58" s="195" t="s">
        <v>204</v>
      </c>
      <c r="C58" s="4">
        <f t="shared" si="1"/>
        <v>28161.120051428574</v>
      </c>
      <c r="D58" s="196"/>
    </row>
    <row r="59" spans="2:4" x14ac:dyDescent="0.3">
      <c r="B59" s="195" t="s">
        <v>205</v>
      </c>
      <c r="C59" s="4">
        <f t="shared" si="1"/>
        <v>42630.244831428565</v>
      </c>
      <c r="D59" s="196"/>
    </row>
    <row r="60" spans="2:4" x14ac:dyDescent="0.3">
      <c r="B60" s="195" t="s">
        <v>206</v>
      </c>
      <c r="C60" s="4">
        <f t="shared" si="1"/>
        <v>7593.6662930232778</v>
      </c>
      <c r="D60" s="196"/>
    </row>
    <row r="61" spans="2:4" x14ac:dyDescent="0.3">
      <c r="B61" s="195" t="s">
        <v>133</v>
      </c>
      <c r="C61" s="4">
        <f t="shared" si="1"/>
        <v>6163.4922800000004</v>
      </c>
      <c r="D61" s="196"/>
    </row>
    <row r="62" spans="2:4" x14ac:dyDescent="0.3">
      <c r="B62" s="195" t="s">
        <v>207</v>
      </c>
      <c r="C62" s="4">
        <f t="shared" si="1"/>
        <v>13273.381793571429</v>
      </c>
      <c r="D62" s="196"/>
    </row>
    <row r="63" spans="2:4" x14ac:dyDescent="0.3">
      <c r="B63" s="195" t="s">
        <v>208</v>
      </c>
      <c r="C63" s="4">
        <f t="shared" si="1"/>
        <v>6943.5502737066899</v>
      </c>
      <c r="D63" s="196"/>
    </row>
    <row r="64" spans="2:4" x14ac:dyDescent="0.3">
      <c r="B64" s="195" t="s">
        <v>209</v>
      </c>
      <c r="C64" s="4">
        <f t="shared" si="1"/>
        <v>40.321907614938119</v>
      </c>
      <c r="D64" s="196"/>
    </row>
    <row r="65" spans="2:34" ht="16.2" thickBot="1" x14ac:dyDescent="0.4">
      <c r="B65" s="203" t="s">
        <v>210</v>
      </c>
      <c r="C65" s="19">
        <f t="shared" si="1"/>
        <v>83.084351743411929</v>
      </c>
      <c r="D65" s="204"/>
    </row>
    <row r="67" spans="2:34" s="1" customFormat="1" ht="22.8" x14ac:dyDescent="0.4">
      <c r="B67" s="3" t="s">
        <v>15</v>
      </c>
    </row>
    <row r="68" spans="2:34" x14ac:dyDescent="0.3">
      <c r="S68" s="73"/>
      <c r="T68" s="73"/>
      <c r="U68" s="73"/>
      <c r="V68" s="73"/>
      <c r="W68" s="228" t="s">
        <v>15</v>
      </c>
      <c r="X68" s="73"/>
      <c r="Y68" s="73"/>
      <c r="Z68" s="73"/>
      <c r="AA68" s="73"/>
    </row>
    <row r="69" spans="2:34" ht="28.2" x14ac:dyDescent="0.3">
      <c r="S69" s="73"/>
      <c r="T69" s="73"/>
      <c r="U69" s="73"/>
      <c r="V69" s="73"/>
      <c r="W69" s="77" t="s">
        <v>211</v>
      </c>
      <c r="X69" s="73"/>
      <c r="Y69" s="73"/>
      <c r="Z69" s="73"/>
      <c r="AA69" s="73"/>
    </row>
    <row r="70" spans="2:34" x14ac:dyDescent="0.3">
      <c r="S70" s="73"/>
      <c r="T70" s="73"/>
      <c r="U70" s="73"/>
      <c r="V70" s="73"/>
      <c r="W70" s="76" t="s">
        <v>56</v>
      </c>
      <c r="X70" s="73"/>
      <c r="Y70" s="73"/>
      <c r="Z70" s="73"/>
      <c r="AA70" s="73"/>
    </row>
    <row r="71" spans="2:34" ht="16.2" thickBot="1" x14ac:dyDescent="0.4">
      <c r="K71" s="537" t="s">
        <v>106</v>
      </c>
      <c r="L71" s="537"/>
      <c r="M71" s="537"/>
      <c r="N71" s="537"/>
      <c r="O71" s="537"/>
      <c r="P71" s="537"/>
      <c r="Q71" s="537"/>
      <c r="R71" s="537"/>
      <c r="S71" s="537"/>
      <c r="T71" s="537"/>
      <c r="U71" s="537"/>
      <c r="V71" s="537"/>
      <c r="W71" s="537"/>
      <c r="X71" s="537"/>
      <c r="Y71" s="537"/>
      <c r="Z71" s="537"/>
      <c r="AA71" s="79" t="s">
        <v>107</v>
      </c>
      <c r="AB71" s="79" t="s">
        <v>104</v>
      </c>
      <c r="AC71" s="78" t="s">
        <v>89</v>
      </c>
      <c r="AD71" s="532" t="s">
        <v>125</v>
      </c>
      <c r="AE71" s="532"/>
      <c r="AF71" s="532"/>
      <c r="AG71" s="532"/>
      <c r="AH71" s="532"/>
    </row>
    <row r="72" spans="2:34" ht="60" customHeight="1" thickBot="1" x14ac:dyDescent="0.35">
      <c r="K72" s="80" t="s">
        <v>108</v>
      </c>
      <c r="L72" s="81" t="s">
        <v>109</v>
      </c>
      <c r="M72" s="81" t="s">
        <v>110</v>
      </c>
      <c r="N72" s="81" t="s">
        <v>111</v>
      </c>
      <c r="O72" s="81" t="s">
        <v>112</v>
      </c>
      <c r="P72" s="81" t="s">
        <v>113</v>
      </c>
      <c r="Q72" s="81" t="s">
        <v>114</v>
      </c>
      <c r="R72" s="81" t="s">
        <v>115</v>
      </c>
      <c r="S72" s="81" t="s">
        <v>116</v>
      </c>
      <c r="T72" s="81" t="s">
        <v>117</v>
      </c>
      <c r="U72" s="81" t="s">
        <v>118</v>
      </c>
      <c r="V72" s="81" t="s">
        <v>119</v>
      </c>
      <c r="W72" s="81" t="s">
        <v>120</v>
      </c>
      <c r="X72" s="81" t="s">
        <v>121</v>
      </c>
      <c r="Y72" s="81" t="s">
        <v>122</v>
      </c>
      <c r="Z72" s="81" t="s">
        <v>123</v>
      </c>
      <c r="AA72" s="138" t="s">
        <v>124</v>
      </c>
      <c r="AB72" s="127" t="s">
        <v>105</v>
      </c>
      <c r="AC72" s="119"/>
      <c r="AD72" s="164" t="s">
        <v>70</v>
      </c>
      <c r="AE72" s="81" t="s">
        <v>126</v>
      </c>
      <c r="AF72" s="138" t="s">
        <v>127</v>
      </c>
      <c r="AG72" s="165" t="s">
        <v>128</v>
      </c>
      <c r="AH72" s="165" t="s">
        <v>73</v>
      </c>
    </row>
    <row r="73" spans="2:34" x14ac:dyDescent="0.3">
      <c r="K73" s="139">
        <f t="shared" ref="K73:Z73" si="2">SUM(K74:K80)</f>
        <v>4365.17</v>
      </c>
      <c r="L73" s="140">
        <f t="shared" si="2"/>
        <v>144.99999999999997</v>
      </c>
      <c r="M73" s="140">
        <f t="shared" si="2"/>
        <v>2652737.2000000011</v>
      </c>
      <c r="N73" s="140">
        <f t="shared" si="2"/>
        <v>777.1</v>
      </c>
      <c r="O73" s="140">
        <f t="shared" si="2"/>
        <v>2973.5499999999997</v>
      </c>
      <c r="P73" s="140">
        <f t="shared" si="2"/>
        <v>2225.98</v>
      </c>
      <c r="Q73" s="140">
        <f t="shared" si="2"/>
        <v>300.19</v>
      </c>
      <c r="R73" s="140">
        <f t="shared" si="2"/>
        <v>23352.18</v>
      </c>
      <c r="S73" s="140">
        <f t="shared" si="2"/>
        <v>46504.69</v>
      </c>
      <c r="T73" s="140">
        <f t="shared" si="2"/>
        <v>565608.36</v>
      </c>
      <c r="U73" s="140">
        <f t="shared" si="2"/>
        <v>34187.67</v>
      </c>
      <c r="V73" s="140">
        <f t="shared" si="2"/>
        <v>16774.79</v>
      </c>
      <c r="W73" s="140">
        <f t="shared" si="2"/>
        <v>1286282.53</v>
      </c>
      <c r="X73" s="140">
        <f t="shared" si="2"/>
        <v>7283.2599999999993</v>
      </c>
      <c r="Y73" s="140">
        <f t="shared" si="2"/>
        <v>29118.710000000003</v>
      </c>
      <c r="Z73" s="140">
        <f t="shared" si="2"/>
        <v>72705.01999999999</v>
      </c>
      <c r="AA73" s="140"/>
      <c r="AB73" s="128"/>
      <c r="AC73" s="120" t="s">
        <v>90</v>
      </c>
      <c r="AD73" s="166"/>
      <c r="AE73" s="167">
        <v>8865.2254736905761</v>
      </c>
      <c r="AF73" s="167"/>
      <c r="AG73" s="168">
        <f t="shared" ref="AG73:AG80" si="3">AH73/SUM(K73:Z73)</f>
        <v>4.6704887627740416E-2</v>
      </c>
      <c r="AH73" s="169">
        <f t="shared" ref="AH73:AH84" si="4">AE73*$C$123+AF73*$C$124</f>
        <v>221630.63684226442</v>
      </c>
    </row>
    <row r="74" spans="2:34" x14ac:dyDescent="0.3">
      <c r="K74" s="141">
        <v>524.49</v>
      </c>
      <c r="L74" s="142">
        <v>2.5900000000000003</v>
      </c>
      <c r="M74" s="142"/>
      <c r="N74" s="142"/>
      <c r="O74" s="142"/>
      <c r="P74" s="142"/>
      <c r="Q74" s="142"/>
      <c r="R74" s="142">
        <v>621.97</v>
      </c>
      <c r="S74" s="142"/>
      <c r="T74" s="142"/>
      <c r="U74" s="142"/>
      <c r="V74" s="142">
        <v>128.38999999999999</v>
      </c>
      <c r="W74" s="142"/>
      <c r="X74" s="142"/>
      <c r="Y74" s="142">
        <v>2030.51</v>
      </c>
      <c r="Z74" s="142"/>
      <c r="AA74" s="143"/>
      <c r="AB74" s="129"/>
      <c r="AC74" s="121" t="s">
        <v>91</v>
      </c>
      <c r="AD74" s="170"/>
      <c r="AE74" s="171">
        <v>74.490057376953601</v>
      </c>
      <c r="AF74" s="171">
        <v>3.5758039795150669</v>
      </c>
      <c r="AG74" s="172">
        <f t="shared" si="3"/>
        <v>0.88509228383721938</v>
      </c>
      <c r="AH74" s="173">
        <f t="shared" si="4"/>
        <v>2927.8410203193298</v>
      </c>
    </row>
    <row r="75" spans="2:34" x14ac:dyDescent="0.3">
      <c r="K75" s="144">
        <v>3792.5099999999998</v>
      </c>
      <c r="L75" s="145">
        <v>133.28999999999996</v>
      </c>
      <c r="M75" s="145">
        <v>0</v>
      </c>
      <c r="N75" s="145">
        <v>0</v>
      </c>
      <c r="O75" s="145"/>
      <c r="P75" s="145"/>
      <c r="Q75" s="145"/>
      <c r="R75" s="145">
        <v>6191.3500000000013</v>
      </c>
      <c r="S75" s="145"/>
      <c r="T75" s="145">
        <v>30034.620000000003</v>
      </c>
      <c r="U75" s="145">
        <v>34187.67</v>
      </c>
      <c r="V75" s="145">
        <v>11776.150000000001</v>
      </c>
      <c r="W75" s="145">
        <v>39149.480000000003</v>
      </c>
      <c r="X75" s="145">
        <v>7283.2599999999993</v>
      </c>
      <c r="Y75" s="145">
        <v>1929.78</v>
      </c>
      <c r="Z75" s="145">
        <v>2487.62</v>
      </c>
      <c r="AA75" s="146"/>
      <c r="AB75" s="130"/>
      <c r="AC75" s="121" t="s">
        <v>92</v>
      </c>
      <c r="AD75" s="170"/>
      <c r="AE75" s="171">
        <v>1177.8571394706794</v>
      </c>
      <c r="AF75" s="171">
        <v>40.304464332630609</v>
      </c>
      <c r="AG75" s="172">
        <f t="shared" si="3"/>
        <v>0.30268271382842193</v>
      </c>
      <c r="AH75" s="173">
        <f t="shared" si="4"/>
        <v>41457.158857890907</v>
      </c>
    </row>
    <row r="76" spans="2:34" x14ac:dyDescent="0.3">
      <c r="K76" s="147"/>
      <c r="L76" s="145"/>
      <c r="M76" s="145">
        <v>44604.780000000006</v>
      </c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5"/>
      <c r="Z76" s="145">
        <v>1177.6600000000001</v>
      </c>
      <c r="AA76" s="146"/>
      <c r="AB76" s="130"/>
      <c r="AC76" s="121" t="s">
        <v>93</v>
      </c>
      <c r="AD76" s="170"/>
      <c r="AE76" s="171">
        <v>1.0439628958478866</v>
      </c>
      <c r="AF76" s="171">
        <v>0.24344330558441141</v>
      </c>
      <c r="AG76" s="172">
        <f t="shared" si="3"/>
        <v>2.1546509417224536E-3</v>
      </c>
      <c r="AH76" s="173">
        <f t="shared" si="4"/>
        <v>98.645177460351761</v>
      </c>
    </row>
    <row r="77" spans="2:34" x14ac:dyDescent="0.3">
      <c r="K77" s="147"/>
      <c r="L77" s="145"/>
      <c r="M77" s="145">
        <v>2.5299999999999998</v>
      </c>
      <c r="N77" s="145">
        <v>0</v>
      </c>
      <c r="O77" s="145">
        <v>2859.62</v>
      </c>
      <c r="P77" s="145"/>
      <c r="Q77" s="145"/>
      <c r="R77" s="145"/>
      <c r="S77" s="145"/>
      <c r="T77" s="145">
        <v>3666.16</v>
      </c>
      <c r="U77" s="145"/>
      <c r="V77" s="145"/>
      <c r="W77" s="145">
        <v>5213.82</v>
      </c>
      <c r="X77" s="145"/>
      <c r="Y77" s="145"/>
      <c r="Z77" s="145"/>
      <c r="AA77" s="146"/>
      <c r="AB77" s="130"/>
      <c r="AC77" s="121" t="s">
        <v>94</v>
      </c>
      <c r="AD77" s="170"/>
      <c r="AE77" s="171">
        <v>8.2324342682015814</v>
      </c>
      <c r="AF77" s="171">
        <v>0.13247769601025144</v>
      </c>
      <c r="AG77" s="172">
        <f t="shared" si="3"/>
        <v>2.0889669090368993E-2</v>
      </c>
      <c r="AH77" s="173">
        <f t="shared" si="4"/>
        <v>245.28921011609447</v>
      </c>
    </row>
    <row r="78" spans="2:34" x14ac:dyDescent="0.3">
      <c r="K78" s="147"/>
      <c r="L78" s="145"/>
      <c r="M78" s="145">
        <v>2608129.8900000011</v>
      </c>
      <c r="N78" s="145"/>
      <c r="O78" s="145">
        <v>113.93</v>
      </c>
      <c r="P78" s="145">
        <v>2225.98</v>
      </c>
      <c r="Q78" s="145">
        <v>300.19</v>
      </c>
      <c r="R78" s="145"/>
      <c r="S78" s="145">
        <v>46504.69</v>
      </c>
      <c r="T78" s="145"/>
      <c r="U78" s="145"/>
      <c r="V78" s="145"/>
      <c r="W78" s="145"/>
      <c r="X78" s="145"/>
      <c r="Y78" s="145"/>
      <c r="Z78" s="145"/>
      <c r="AA78" s="146"/>
      <c r="AB78" s="130"/>
      <c r="AC78" s="121" t="s">
        <v>95</v>
      </c>
      <c r="AD78" s="170"/>
      <c r="AE78" s="171">
        <v>107.06115389173506</v>
      </c>
      <c r="AF78" s="171">
        <v>7.8726062536290247</v>
      </c>
      <c r="AG78" s="172">
        <f t="shared" si="3"/>
        <v>1.8901190564442603E-3</v>
      </c>
      <c r="AH78" s="173">
        <f t="shared" si="4"/>
        <v>5022.565510874826</v>
      </c>
    </row>
    <row r="79" spans="2:34" x14ac:dyDescent="0.3">
      <c r="K79" s="144"/>
      <c r="L79" s="148">
        <v>1.68</v>
      </c>
      <c r="M79" s="148"/>
      <c r="N79" s="148">
        <v>777.1</v>
      </c>
      <c r="O79" s="148"/>
      <c r="P79" s="148"/>
      <c r="Q79" s="148"/>
      <c r="R79" s="148">
        <v>4790.59</v>
      </c>
      <c r="S79" s="148"/>
      <c r="T79" s="148">
        <v>531907.57999999996</v>
      </c>
      <c r="U79" s="148"/>
      <c r="V79" s="148">
        <v>1819.6699999999998</v>
      </c>
      <c r="W79" s="148">
        <v>1241919.23</v>
      </c>
      <c r="X79" s="148"/>
      <c r="Y79" s="148"/>
      <c r="Z79" s="148">
        <v>69039.739999999991</v>
      </c>
      <c r="AA79" s="149"/>
      <c r="AB79" s="131"/>
      <c r="AC79" s="121" t="s">
        <v>96</v>
      </c>
      <c r="AD79" s="174"/>
      <c r="AE79" s="175">
        <v>1252.7386831071397</v>
      </c>
      <c r="AF79" s="175">
        <v>66.54219740023963</v>
      </c>
      <c r="AG79" s="172">
        <f t="shared" si="3"/>
        <v>2.7643771044058782E-2</v>
      </c>
      <c r="AH79" s="173">
        <f t="shared" si="4"/>
        <v>51148.041902949903</v>
      </c>
    </row>
    <row r="80" spans="2:34" x14ac:dyDescent="0.3">
      <c r="K80" s="144">
        <v>48.17</v>
      </c>
      <c r="L80" s="148">
        <v>7.4399999999999995</v>
      </c>
      <c r="M80" s="148"/>
      <c r="N80" s="148"/>
      <c r="O80" s="148"/>
      <c r="P80" s="148"/>
      <c r="Q80" s="148"/>
      <c r="R80" s="148">
        <v>11748.27</v>
      </c>
      <c r="S80" s="148"/>
      <c r="T80" s="148"/>
      <c r="U80" s="148"/>
      <c r="V80" s="148">
        <v>3050.58</v>
      </c>
      <c r="W80" s="148"/>
      <c r="X80" s="148"/>
      <c r="Y80" s="148">
        <v>25158.420000000002</v>
      </c>
      <c r="Z80" s="148"/>
      <c r="AA80" s="149"/>
      <c r="AB80" s="131"/>
      <c r="AC80" s="121" t="s">
        <v>97</v>
      </c>
      <c r="AD80" s="174"/>
      <c r="AE80" s="175">
        <v>1172.6322759723485</v>
      </c>
      <c r="AF80" s="175">
        <v>41.874311977062654</v>
      </c>
      <c r="AG80" s="172">
        <f t="shared" si="3"/>
        <v>1.04452246047956</v>
      </c>
      <c r="AH80" s="173">
        <f t="shared" si="4"/>
        <v>41794.351868473379</v>
      </c>
    </row>
    <row r="81" spans="2:48" x14ac:dyDescent="0.3">
      <c r="K81" s="144"/>
      <c r="L81" s="148"/>
      <c r="M81" s="148"/>
      <c r="N81" s="148"/>
      <c r="O81" s="148"/>
      <c r="P81" s="148"/>
      <c r="Q81" s="148"/>
      <c r="R81" s="148"/>
      <c r="S81" s="148"/>
      <c r="T81" s="148"/>
      <c r="U81" s="148"/>
      <c r="V81" s="148"/>
      <c r="W81" s="148"/>
      <c r="X81" s="148"/>
      <c r="Y81" s="148"/>
      <c r="Z81" s="148"/>
      <c r="AA81" s="150">
        <v>29869.97</v>
      </c>
      <c r="AB81" s="132"/>
      <c r="AC81" s="122" t="s">
        <v>98</v>
      </c>
      <c r="AD81" s="174"/>
      <c r="AE81" s="175">
        <v>-16.470985704532101</v>
      </c>
      <c r="AF81" s="175"/>
      <c r="AG81" s="172"/>
      <c r="AH81" s="173">
        <f t="shared" si="4"/>
        <v>-411.77464261330255</v>
      </c>
    </row>
    <row r="82" spans="2:48" ht="15" thickBot="1" x14ac:dyDescent="0.35">
      <c r="K82" s="151"/>
      <c r="L82" s="152"/>
      <c r="M82" s="152"/>
      <c r="N82" s="152"/>
      <c r="O82" s="152"/>
      <c r="P82" s="152"/>
      <c r="Q82" s="152"/>
      <c r="R82" s="152"/>
      <c r="S82" s="152"/>
      <c r="T82" s="152"/>
      <c r="U82" s="152"/>
      <c r="V82" s="152"/>
      <c r="W82" s="152"/>
      <c r="X82" s="152"/>
      <c r="Y82" s="152"/>
      <c r="Z82" s="152"/>
      <c r="AA82" s="153">
        <v>131805</v>
      </c>
      <c r="AB82" s="133"/>
      <c r="AC82" s="123" t="s">
        <v>99</v>
      </c>
      <c r="AD82" s="176"/>
      <c r="AE82" s="177">
        <v>-59.6863025230193</v>
      </c>
      <c r="AF82" s="177"/>
      <c r="AG82" s="178"/>
      <c r="AH82" s="179">
        <f t="shared" si="4"/>
        <v>-1492.1575630754826</v>
      </c>
    </row>
    <row r="83" spans="2:48" ht="15.6" x14ac:dyDescent="0.35">
      <c r="K83" s="154"/>
      <c r="L83" s="155"/>
      <c r="M83" s="155"/>
      <c r="N83" s="155"/>
      <c r="O83" s="155"/>
      <c r="P83" s="155"/>
      <c r="Q83" s="155"/>
      <c r="R83" s="155"/>
      <c r="S83" s="155"/>
      <c r="T83" s="155"/>
      <c r="U83" s="155"/>
      <c r="V83" s="155"/>
      <c r="W83" s="155"/>
      <c r="X83" s="155"/>
      <c r="Y83" s="155"/>
      <c r="Z83" s="155"/>
      <c r="AA83" s="156"/>
      <c r="AB83" s="134">
        <v>1003.9371405323122</v>
      </c>
      <c r="AC83" s="120" t="s">
        <v>100</v>
      </c>
      <c r="AD83" s="180"/>
      <c r="AE83" s="181"/>
      <c r="AF83" s="181">
        <v>-0.19156595323682599</v>
      </c>
      <c r="AG83" s="168"/>
      <c r="AH83" s="182">
        <f t="shared" si="4"/>
        <v>-57.086654064574141</v>
      </c>
    </row>
    <row r="84" spans="2:48" ht="15.6" x14ac:dyDescent="0.35">
      <c r="K84" s="157"/>
      <c r="L84" s="158"/>
      <c r="M84" s="158"/>
      <c r="N84" s="158"/>
      <c r="O84" s="158"/>
      <c r="P84" s="158"/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9"/>
      <c r="AB84" s="135">
        <v>415.71981000802947</v>
      </c>
      <c r="AC84" s="124" t="s">
        <v>101</v>
      </c>
      <c r="AD84" s="183"/>
      <c r="AE84" s="184"/>
      <c r="AF84" s="184">
        <v>-6.5012991716409105E-2</v>
      </c>
      <c r="AG84" s="185"/>
      <c r="AH84" s="186">
        <f t="shared" si="4"/>
        <v>-19.373871531489915</v>
      </c>
    </row>
    <row r="85" spans="2:48" ht="15.6" x14ac:dyDescent="0.35">
      <c r="K85" s="157"/>
      <c r="L85" s="158"/>
      <c r="M85" s="158"/>
      <c r="N85" s="158"/>
      <c r="O85" s="158"/>
      <c r="P85" s="158"/>
      <c r="Q85" s="158"/>
      <c r="R85" s="158"/>
      <c r="S85" s="158"/>
      <c r="T85" s="158"/>
      <c r="U85" s="158"/>
      <c r="V85" s="158"/>
      <c r="W85" s="158"/>
      <c r="X85" s="158"/>
      <c r="Y85" s="158"/>
      <c r="Z85" s="158"/>
      <c r="AA85" s="159"/>
      <c r="AB85" s="135">
        <v>0</v>
      </c>
      <c r="AC85" s="124" t="s">
        <v>102</v>
      </c>
      <c r="AD85" s="183"/>
      <c r="AE85" s="184"/>
      <c r="AF85" s="184">
        <v>0</v>
      </c>
      <c r="AG85" s="185"/>
      <c r="AH85" s="186">
        <f>AE85*25+AF85*298</f>
        <v>0</v>
      </c>
    </row>
    <row r="86" spans="2:48" ht="16.2" thickBot="1" x14ac:dyDescent="0.4">
      <c r="K86" s="160"/>
      <c r="L86" s="161"/>
      <c r="M86" s="161"/>
      <c r="N86" s="161"/>
      <c r="O86" s="161"/>
      <c r="P86" s="161"/>
      <c r="Q86" s="161"/>
      <c r="R86" s="161"/>
      <c r="S86" s="161"/>
      <c r="T86" s="161"/>
      <c r="U86" s="161"/>
      <c r="V86" s="161"/>
      <c r="W86" s="161"/>
      <c r="X86" s="161"/>
      <c r="Y86" s="161"/>
      <c r="Z86" s="161"/>
      <c r="AA86" s="162"/>
      <c r="AB86" s="136">
        <v>150.3485362808417</v>
      </c>
      <c r="AC86" s="125" t="s">
        <v>103</v>
      </c>
      <c r="AD86" s="187"/>
      <c r="AE86" s="188"/>
      <c r="AF86" s="188">
        <v>-0.64382060281319298</v>
      </c>
      <c r="AG86" s="189"/>
      <c r="AH86" s="179">
        <f>AE86*$C$123+AF86*$C$124</f>
        <v>-191.85853963833151</v>
      </c>
    </row>
    <row r="87" spans="2:48" ht="15" thickBot="1" x14ac:dyDescent="0.35">
      <c r="K87" s="163">
        <f t="shared" ref="K87:Z87" si="5">SUM(K74:K80)</f>
        <v>4365.17</v>
      </c>
      <c r="L87" s="89">
        <f t="shared" si="5"/>
        <v>144.99999999999997</v>
      </c>
      <c r="M87" s="89">
        <f t="shared" si="5"/>
        <v>2652737.2000000011</v>
      </c>
      <c r="N87" s="89">
        <f t="shared" si="5"/>
        <v>777.1</v>
      </c>
      <c r="O87" s="89">
        <f t="shared" si="5"/>
        <v>2973.5499999999997</v>
      </c>
      <c r="P87" s="89">
        <f t="shared" si="5"/>
        <v>2225.98</v>
      </c>
      <c r="Q87" s="89">
        <f t="shared" si="5"/>
        <v>300.19</v>
      </c>
      <c r="R87" s="89">
        <f t="shared" si="5"/>
        <v>23352.18</v>
      </c>
      <c r="S87" s="89">
        <f t="shared" si="5"/>
        <v>46504.69</v>
      </c>
      <c r="T87" s="89">
        <f t="shared" si="5"/>
        <v>565608.36</v>
      </c>
      <c r="U87" s="89">
        <f t="shared" si="5"/>
        <v>34187.67</v>
      </c>
      <c r="V87" s="89">
        <f t="shared" si="5"/>
        <v>16774.79</v>
      </c>
      <c r="W87" s="89">
        <f t="shared" si="5"/>
        <v>1286282.53</v>
      </c>
      <c r="X87" s="89">
        <f t="shared" si="5"/>
        <v>7283.2599999999993</v>
      </c>
      <c r="Y87" s="89">
        <f t="shared" si="5"/>
        <v>29118.710000000003</v>
      </c>
      <c r="Z87" s="89">
        <f t="shared" si="5"/>
        <v>72705.01999999999</v>
      </c>
      <c r="AA87" s="89">
        <f>SUM(AA81:AA82)</f>
        <v>161674.97</v>
      </c>
      <c r="AB87" s="89"/>
      <c r="AC87" s="126" t="s">
        <v>23</v>
      </c>
      <c r="AD87" s="188">
        <f>SUM(AD73:AD80)</f>
        <v>0</v>
      </c>
      <c r="AE87" s="188">
        <f>SUM(AE73:AE82)</f>
        <v>12583.12389244593</v>
      </c>
      <c r="AF87" s="188">
        <f>SUM(AF73:AF86)</f>
        <v>159.64490539690524</v>
      </c>
      <c r="AG87" s="190"/>
      <c r="AH87" s="191">
        <f>SUM(AH73:AH86)</f>
        <v>362152.27911942598</v>
      </c>
    </row>
    <row r="89" spans="2:48" s="1" customFormat="1" ht="22.8" x14ac:dyDescent="0.4">
      <c r="B89" s="3" t="s">
        <v>10</v>
      </c>
    </row>
    <row r="90" spans="2:48" x14ac:dyDescent="0.3"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229"/>
      <c r="AG90" s="73"/>
      <c r="AH90" s="230"/>
      <c r="AI90" s="73"/>
    </row>
    <row r="91" spans="2:48" ht="15.6" x14ac:dyDescent="0.3">
      <c r="E91" s="538"/>
      <c r="F91" s="538"/>
      <c r="G91" s="538"/>
      <c r="H91" s="538"/>
      <c r="I91" s="109"/>
      <c r="J91" s="258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231" t="s">
        <v>10</v>
      </c>
      <c r="AD91" s="73"/>
      <c r="AE91" s="73"/>
      <c r="AF91" s="229"/>
      <c r="AG91" s="73"/>
      <c r="AH91" s="230"/>
      <c r="AI91" s="73"/>
    </row>
    <row r="92" spans="2:48" ht="28.2" x14ac:dyDescent="0.3">
      <c r="E92" s="531"/>
      <c r="F92" s="531"/>
      <c r="G92" s="109"/>
      <c r="H92" s="259"/>
      <c r="I92" s="109"/>
      <c r="J92" s="258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7" t="s">
        <v>211</v>
      </c>
      <c r="AD92" s="73"/>
      <c r="AE92" s="73"/>
      <c r="AF92" s="229"/>
      <c r="AG92" s="73"/>
      <c r="AH92" s="230"/>
      <c r="AI92" s="73"/>
    </row>
    <row r="93" spans="2:48" ht="20.399999999999999" x14ac:dyDescent="0.3"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232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233" t="s">
        <v>212</v>
      </c>
      <c r="AD93" s="73"/>
      <c r="AE93" s="73"/>
      <c r="AF93" s="229"/>
      <c r="AG93" s="73"/>
      <c r="AH93" s="230"/>
      <c r="AI93" s="73"/>
    </row>
    <row r="94" spans="2:48" x14ac:dyDescent="0.3">
      <c r="E94" s="74"/>
      <c r="F94" s="74"/>
      <c r="G94" s="74"/>
      <c r="H94" s="234"/>
      <c r="I94" s="74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229"/>
      <c r="AG94" s="73"/>
      <c r="AH94" s="230"/>
      <c r="AI94" s="73"/>
    </row>
    <row r="95" spans="2:48" ht="28.2" x14ac:dyDescent="0.5">
      <c r="E95" s="74"/>
      <c r="F95" s="235"/>
      <c r="G95" s="236"/>
      <c r="H95" s="234"/>
      <c r="I95" s="74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229"/>
      <c r="AG95" s="73"/>
      <c r="AH95" s="230"/>
      <c r="AI95" s="73"/>
    </row>
    <row r="96" spans="2:48" ht="16.2" thickBot="1" x14ac:dyDescent="0.4">
      <c r="E96" s="532" t="s">
        <v>213</v>
      </c>
      <c r="F96" s="532"/>
      <c r="G96" s="532"/>
      <c r="H96" s="532"/>
      <c r="I96" s="532"/>
      <c r="J96" s="532"/>
      <c r="K96" s="532"/>
      <c r="L96" s="532"/>
      <c r="M96" s="532"/>
      <c r="N96" s="532"/>
      <c r="O96" s="532"/>
      <c r="P96" s="532"/>
      <c r="Q96" s="532"/>
      <c r="R96" s="532"/>
      <c r="S96" s="532"/>
      <c r="T96" s="532"/>
      <c r="U96" s="532"/>
      <c r="V96" s="532"/>
      <c r="W96" s="532"/>
      <c r="X96" s="532"/>
      <c r="Y96" s="532"/>
      <c r="Z96" s="532"/>
      <c r="AA96" s="532"/>
      <c r="AB96" s="532"/>
      <c r="AC96" s="76" t="s">
        <v>89</v>
      </c>
      <c r="AD96" s="532" t="s">
        <v>125</v>
      </c>
      <c r="AE96" s="532"/>
      <c r="AF96" s="532"/>
      <c r="AG96" s="532"/>
      <c r="AH96" s="532"/>
      <c r="AI96" s="73"/>
      <c r="AJ96" s="73"/>
      <c r="AK96" s="73"/>
      <c r="AL96" s="73"/>
      <c r="AM96" s="73"/>
      <c r="AN96" s="73"/>
      <c r="AO96" s="73"/>
      <c r="AP96" s="73"/>
      <c r="AQ96" s="73"/>
      <c r="AR96" s="73"/>
      <c r="AS96" s="73"/>
      <c r="AT96" s="73"/>
      <c r="AU96" s="73"/>
      <c r="AV96" s="73"/>
    </row>
    <row r="97" spans="5:48" ht="295.5" customHeight="1" x14ac:dyDescent="0.3">
      <c r="E97" s="237" t="s">
        <v>179</v>
      </c>
      <c r="F97" s="238" t="s">
        <v>180</v>
      </c>
      <c r="G97" s="238" t="s">
        <v>181</v>
      </c>
      <c r="H97" s="238" t="s">
        <v>182</v>
      </c>
      <c r="I97" s="238" t="s">
        <v>183</v>
      </c>
      <c r="J97" s="238" t="s">
        <v>184</v>
      </c>
      <c r="K97" s="238" t="s">
        <v>185</v>
      </c>
      <c r="L97" s="238" t="s">
        <v>186</v>
      </c>
      <c r="M97" s="238" t="s">
        <v>187</v>
      </c>
      <c r="N97" s="238" t="s">
        <v>188</v>
      </c>
      <c r="O97" s="238" t="s">
        <v>189</v>
      </c>
      <c r="P97" s="238" t="s">
        <v>190</v>
      </c>
      <c r="Q97" s="239" t="s">
        <v>191</v>
      </c>
      <c r="R97" s="238" t="s">
        <v>192</v>
      </c>
      <c r="S97" s="239" t="s">
        <v>193</v>
      </c>
      <c r="T97" s="238" t="s">
        <v>194</v>
      </c>
      <c r="U97" s="238" t="s">
        <v>214</v>
      </c>
      <c r="V97" s="238" t="s">
        <v>215</v>
      </c>
      <c r="W97" s="238" t="s">
        <v>216</v>
      </c>
      <c r="X97" s="240" t="s">
        <v>217</v>
      </c>
      <c r="Y97" s="241" t="s">
        <v>218</v>
      </c>
      <c r="Z97" s="241" t="s">
        <v>219</v>
      </c>
      <c r="AA97" s="242" t="s">
        <v>220</v>
      </c>
      <c r="AB97" s="241" t="s">
        <v>221</v>
      </c>
      <c r="AC97" s="243"/>
      <c r="AD97" s="244" t="s">
        <v>222</v>
      </c>
      <c r="AE97" s="238" t="s">
        <v>223</v>
      </c>
      <c r="AF97" s="245" t="s">
        <v>127</v>
      </c>
      <c r="AG97" s="238" t="s">
        <v>224</v>
      </c>
      <c r="AH97" s="246" t="s">
        <v>225</v>
      </c>
      <c r="AI97" s="73"/>
      <c r="AJ97" s="73"/>
      <c r="AK97" s="73"/>
      <c r="AL97" s="73"/>
      <c r="AM97" s="73"/>
      <c r="AN97" s="73"/>
      <c r="AO97" s="73"/>
      <c r="AP97" s="73"/>
      <c r="AQ97" s="73"/>
      <c r="AR97" s="73"/>
      <c r="AS97" s="73"/>
      <c r="AT97" s="73"/>
      <c r="AU97" s="73"/>
      <c r="AV97" s="73"/>
    </row>
    <row r="98" spans="5:48" ht="15" thickBot="1" x14ac:dyDescent="0.35">
      <c r="E98" s="539" t="s">
        <v>226</v>
      </c>
      <c r="F98" s="540"/>
      <c r="G98" s="540"/>
      <c r="H98" s="540"/>
      <c r="I98" s="540"/>
      <c r="J98" s="540"/>
      <c r="K98" s="540"/>
      <c r="L98" s="540"/>
      <c r="M98" s="540"/>
      <c r="N98" s="540"/>
      <c r="O98" s="540"/>
      <c r="P98" s="540"/>
      <c r="Q98" s="540"/>
      <c r="R98" s="540"/>
      <c r="S98" s="540"/>
      <c r="T98" s="540"/>
      <c r="U98" s="540"/>
      <c r="V98" s="540"/>
      <c r="W98" s="540"/>
      <c r="X98" s="540"/>
      <c r="Y98" s="540"/>
      <c r="Z98" s="540"/>
      <c r="AA98" s="540"/>
      <c r="AB98" s="540"/>
      <c r="AC98" s="540"/>
      <c r="AD98" s="540"/>
      <c r="AE98" s="540"/>
      <c r="AF98" s="540"/>
      <c r="AG98" s="540"/>
      <c r="AH98" s="541"/>
      <c r="AI98" s="73"/>
      <c r="AJ98" s="73"/>
      <c r="AK98" s="73"/>
      <c r="AL98" s="73"/>
      <c r="AM98" s="73"/>
      <c r="AN98" s="73" t="s">
        <v>240</v>
      </c>
      <c r="AO98" s="73"/>
      <c r="AP98" s="73"/>
      <c r="AQ98" s="73"/>
      <c r="AR98" s="73"/>
      <c r="AS98" s="73"/>
      <c r="AT98" s="73"/>
      <c r="AU98" s="73"/>
      <c r="AV98" s="73"/>
    </row>
    <row r="99" spans="5:48" x14ac:dyDescent="0.3">
      <c r="E99" s="174">
        <v>6297.55</v>
      </c>
      <c r="F99" s="175">
        <v>270.18</v>
      </c>
      <c r="G99" s="175">
        <v>5616.96</v>
      </c>
      <c r="H99" s="175">
        <v>2754.16</v>
      </c>
      <c r="I99" s="175">
        <v>18558.27</v>
      </c>
      <c r="J99" s="175">
        <v>1784.1200000000001</v>
      </c>
      <c r="K99" s="175">
        <v>444.36</v>
      </c>
      <c r="L99" s="175">
        <v>317.91000000000003</v>
      </c>
      <c r="M99" s="175">
        <v>2212.98</v>
      </c>
      <c r="N99" s="175">
        <v>22.87</v>
      </c>
      <c r="O99" s="175">
        <v>1103.18</v>
      </c>
      <c r="P99" s="175">
        <v>174.34</v>
      </c>
      <c r="Q99" s="175">
        <v>11950.26</v>
      </c>
      <c r="R99" s="175">
        <v>12616.34</v>
      </c>
      <c r="S99" s="175">
        <v>8297.16</v>
      </c>
      <c r="T99" s="175">
        <v>3760.2799999999997</v>
      </c>
      <c r="U99" s="175"/>
      <c r="V99" s="175"/>
      <c r="W99" s="175"/>
      <c r="X99" s="175"/>
      <c r="Y99" s="175"/>
      <c r="Z99" s="175"/>
      <c r="AA99" s="175"/>
      <c r="AB99" s="175"/>
      <c r="AC99" s="121" t="s">
        <v>199</v>
      </c>
      <c r="AD99" s="175"/>
      <c r="AE99" s="175"/>
      <c r="AF99" s="175">
        <f>(E99*AT99+F99*AT100+G99*AT101+H99*AT102+I99*AT103+J99*AT104+K99*AT105+L99*AT106+M99*AT107+N99*AT108+O99*AT109+P99*AT110+Q99*AT111+R99*AT112+S99*AT113)*0.01*44/28</f>
        <v>59.903052552553667</v>
      </c>
      <c r="AG99" s="175"/>
      <c r="AH99" s="173">
        <f>AF99*$C$124</f>
        <v>17851.109660660994</v>
      </c>
      <c r="AI99" s="73"/>
      <c r="AJ99" s="230"/>
      <c r="AK99" s="73"/>
      <c r="AL99" s="73"/>
      <c r="AM99" s="73"/>
      <c r="AN99" s="545" t="s">
        <v>241</v>
      </c>
      <c r="AO99" s="546"/>
      <c r="AP99" s="546"/>
      <c r="AQ99" s="546"/>
      <c r="AR99" s="546"/>
      <c r="AS99" s="546"/>
      <c r="AT99" s="260">
        <v>4.8758144999999996E-2</v>
      </c>
      <c r="AU99" s="73"/>
      <c r="AV99" s="73"/>
    </row>
    <row r="100" spans="5:48" ht="16.2" x14ac:dyDescent="0.3">
      <c r="E100" s="174"/>
      <c r="F100" s="175"/>
      <c r="G100" s="175"/>
      <c r="H100" s="175"/>
      <c r="I100" s="175"/>
      <c r="J100" s="175"/>
      <c r="K100" s="175"/>
      <c r="L100" s="175"/>
      <c r="M100" s="175"/>
      <c r="N100" s="175"/>
      <c r="O100" s="175"/>
      <c r="P100" s="175"/>
      <c r="Q100" s="175"/>
      <c r="R100" s="175"/>
      <c r="S100" s="175"/>
      <c r="T100" s="175"/>
      <c r="U100" s="175"/>
      <c r="V100" s="175"/>
      <c r="W100" s="175"/>
      <c r="X100" s="175"/>
      <c r="Y100" s="230"/>
      <c r="Z100" s="247"/>
      <c r="AA100" s="175"/>
      <c r="AB100" s="173"/>
      <c r="AC100" s="121" t="s">
        <v>227</v>
      </c>
      <c r="AD100" s="175"/>
      <c r="AE100" s="175"/>
      <c r="AF100" s="175"/>
      <c r="AG100" s="175">
        <f>((AA100*48)+(AA100*-733))/1000</f>
        <v>0</v>
      </c>
      <c r="AH100" s="173">
        <f>AG100</f>
        <v>0</v>
      </c>
      <c r="AI100" s="73"/>
      <c r="AJ100" s="73"/>
      <c r="AK100" s="73"/>
      <c r="AL100" s="230"/>
      <c r="AM100" s="73"/>
      <c r="AN100" s="261" t="s">
        <v>242</v>
      </c>
      <c r="AO100" s="262"/>
      <c r="AP100" s="262"/>
      <c r="AQ100" s="262"/>
      <c r="AR100" s="262"/>
      <c r="AS100" s="262"/>
      <c r="AT100" s="263">
        <v>3.3667559999999999E-2</v>
      </c>
      <c r="AU100" s="73"/>
      <c r="AV100" s="73"/>
    </row>
    <row r="101" spans="5:48" ht="16.2" x14ac:dyDescent="0.35">
      <c r="E101" s="542" t="s">
        <v>228</v>
      </c>
      <c r="F101" s="543"/>
      <c r="G101" s="543"/>
      <c r="H101" s="543"/>
      <c r="I101" s="543"/>
      <c r="J101" s="543"/>
      <c r="K101" s="543"/>
      <c r="L101" s="543"/>
      <c r="M101" s="543"/>
      <c r="N101" s="543"/>
      <c r="O101" s="543"/>
      <c r="P101" s="543"/>
      <c r="Q101" s="543"/>
      <c r="R101" s="543"/>
      <c r="S101" s="543"/>
      <c r="T101" s="543"/>
      <c r="U101" s="543"/>
      <c r="V101" s="543"/>
      <c r="W101" s="543"/>
      <c r="X101" s="543"/>
      <c r="Y101" s="543"/>
      <c r="Z101" s="543"/>
      <c r="AA101" s="543"/>
      <c r="AB101" s="543"/>
      <c r="AC101" s="543"/>
      <c r="AD101" s="543"/>
      <c r="AE101" s="543"/>
      <c r="AF101" s="543"/>
      <c r="AG101" s="543"/>
      <c r="AH101" s="544"/>
      <c r="AI101" s="73"/>
      <c r="AJ101" s="73"/>
      <c r="AK101" s="73"/>
      <c r="AL101" s="73"/>
      <c r="AM101" s="73"/>
      <c r="AN101" s="261" t="s">
        <v>243</v>
      </c>
      <c r="AO101" s="262"/>
      <c r="AP101" s="262"/>
      <c r="AQ101" s="262"/>
      <c r="AR101" s="262"/>
      <c r="AS101" s="262"/>
      <c r="AT101" s="263">
        <v>3.3652585000000006E-2</v>
      </c>
      <c r="AU101" s="73"/>
      <c r="AV101" s="73"/>
    </row>
    <row r="102" spans="5:48" x14ac:dyDescent="0.3">
      <c r="E102" s="248"/>
      <c r="F102" s="175"/>
      <c r="G102" s="175"/>
      <c r="H102" s="175"/>
      <c r="I102" s="175"/>
      <c r="J102" s="175"/>
      <c r="K102" s="175"/>
      <c r="L102" s="175"/>
      <c r="M102" s="175"/>
      <c r="N102" s="175"/>
      <c r="O102" s="175"/>
      <c r="P102" s="175"/>
      <c r="Q102" s="175"/>
      <c r="R102" s="249"/>
      <c r="S102" s="249"/>
      <c r="T102" s="249"/>
      <c r="U102" s="175"/>
      <c r="V102" s="175"/>
      <c r="W102" s="175"/>
      <c r="X102" s="175"/>
      <c r="Y102" s="175"/>
      <c r="Z102" s="175"/>
      <c r="AA102" s="175">
        <f>65162/1000</f>
        <v>65.162000000000006</v>
      </c>
      <c r="AB102" s="175"/>
      <c r="AC102" s="121" t="s">
        <v>229</v>
      </c>
      <c r="AD102" s="175"/>
      <c r="AE102" s="175"/>
      <c r="AF102" s="175">
        <f>AA102*44/28</f>
        <v>102.39742857142858</v>
      </c>
      <c r="AG102" s="175"/>
      <c r="AH102" s="173">
        <f t="shared" ref="AH102:AH109" si="6">AF102*$C$124</f>
        <v>30514.433714285715</v>
      </c>
      <c r="AI102" s="73"/>
      <c r="AJ102" s="73"/>
      <c r="AK102" s="73"/>
      <c r="AL102" s="73"/>
      <c r="AM102" s="73"/>
      <c r="AN102" s="261" t="s">
        <v>244</v>
      </c>
      <c r="AO102" s="262"/>
      <c r="AP102" s="262"/>
      <c r="AQ102" s="262"/>
      <c r="AR102" s="262"/>
      <c r="AS102" s="262"/>
      <c r="AT102" s="263">
        <v>4.3516480000000003E-2</v>
      </c>
      <c r="AU102" s="73"/>
      <c r="AV102" s="73"/>
    </row>
    <row r="103" spans="5:48" x14ac:dyDescent="0.3">
      <c r="E103" s="174"/>
      <c r="F103" s="175"/>
      <c r="G103" s="175"/>
      <c r="H103" s="175"/>
      <c r="I103" s="175"/>
      <c r="J103" s="175"/>
      <c r="K103" s="175"/>
      <c r="L103" s="175"/>
      <c r="M103" s="175"/>
      <c r="N103" s="175"/>
      <c r="O103" s="175"/>
      <c r="P103" s="175"/>
      <c r="Q103" s="175"/>
      <c r="R103" s="175"/>
      <c r="S103" s="175"/>
      <c r="T103" s="175"/>
      <c r="U103" s="175"/>
      <c r="V103" s="175"/>
      <c r="W103" s="175"/>
      <c r="X103" s="175"/>
      <c r="Y103" s="230"/>
      <c r="Z103" s="175">
        <f>-628519/1000</f>
        <v>-628.51900000000001</v>
      </c>
      <c r="AA103" s="73"/>
      <c r="AB103" s="173"/>
      <c r="AC103" s="121" t="s">
        <v>230</v>
      </c>
      <c r="AD103" s="175"/>
      <c r="AE103" s="175"/>
      <c r="AF103" s="175">
        <f>(Z103*0.01*44/28)</f>
        <v>-9.8767271428571437</v>
      </c>
      <c r="AG103" s="175"/>
      <c r="AH103" s="173">
        <f t="shared" si="6"/>
        <v>-2943.2646885714289</v>
      </c>
      <c r="AI103" s="73"/>
      <c r="AJ103" s="73"/>
      <c r="AK103" s="73"/>
      <c r="AL103" s="73"/>
      <c r="AM103" s="73"/>
      <c r="AN103" s="261" t="s">
        <v>245</v>
      </c>
      <c r="AO103" s="262"/>
      <c r="AP103" s="262"/>
      <c r="AQ103" s="262"/>
      <c r="AR103" s="262"/>
      <c r="AS103" s="262"/>
      <c r="AT103" s="263">
        <v>3.6757280000000003E-2</v>
      </c>
      <c r="AU103" s="73"/>
      <c r="AV103" s="73"/>
    </row>
    <row r="104" spans="5:48" x14ac:dyDescent="0.3">
      <c r="E104" s="174"/>
      <c r="F104" s="175"/>
      <c r="G104" s="175"/>
      <c r="H104" s="175"/>
      <c r="I104" s="175"/>
      <c r="J104" s="175"/>
      <c r="K104" s="175"/>
      <c r="L104" s="175"/>
      <c r="M104" s="175"/>
      <c r="N104" s="175"/>
      <c r="O104" s="175"/>
      <c r="P104" s="175"/>
      <c r="Q104" s="175"/>
      <c r="R104" s="175"/>
      <c r="S104" s="175"/>
      <c r="T104" s="175"/>
      <c r="U104" s="175"/>
      <c r="V104" s="175"/>
      <c r="W104" s="175"/>
      <c r="X104" s="175"/>
      <c r="Y104" s="175"/>
      <c r="Z104" s="175"/>
      <c r="AA104" s="4">
        <f>6654/1000</f>
        <v>6.6539999999999999</v>
      </c>
      <c r="AB104" s="175"/>
      <c r="AC104" s="121" t="s">
        <v>231</v>
      </c>
      <c r="AD104" s="175"/>
      <c r="AE104" s="175"/>
      <c r="AF104" s="175">
        <f>AA104*0.01*44/28</f>
        <v>0.10456285714285715</v>
      </c>
      <c r="AG104" s="175"/>
      <c r="AH104" s="173">
        <f t="shared" si="6"/>
        <v>31.15973142857143</v>
      </c>
      <c r="AI104" s="73"/>
      <c r="AJ104" s="73"/>
      <c r="AK104" s="73"/>
      <c r="AL104" s="73"/>
      <c r="AM104" s="230"/>
      <c r="AN104" s="261" t="s">
        <v>246</v>
      </c>
      <c r="AO104" s="262"/>
      <c r="AP104" s="262"/>
      <c r="AQ104" s="262"/>
      <c r="AR104" s="262"/>
      <c r="AS104" s="262"/>
      <c r="AT104" s="263">
        <v>2.5476140000000001E-2</v>
      </c>
      <c r="AU104" s="73"/>
      <c r="AV104" s="73"/>
    </row>
    <row r="105" spans="5:48" x14ac:dyDescent="0.3">
      <c r="E105" s="174"/>
      <c r="F105" s="175"/>
      <c r="G105" s="175"/>
      <c r="H105" s="175"/>
      <c r="I105" s="175"/>
      <c r="J105" s="175"/>
      <c r="K105" s="175"/>
      <c r="L105" s="175"/>
      <c r="M105" s="175"/>
      <c r="N105" s="175"/>
      <c r="O105" s="175"/>
      <c r="P105" s="175"/>
      <c r="Q105" s="175"/>
      <c r="R105" s="175"/>
      <c r="S105" s="175"/>
      <c r="T105" s="175"/>
      <c r="U105" s="175"/>
      <c r="V105" s="175"/>
      <c r="W105" s="175"/>
      <c r="X105" s="175"/>
      <c r="Y105" s="230"/>
      <c r="Z105" s="230"/>
      <c r="AA105" s="175">
        <f>6013662/1000</f>
        <v>6013.6620000000003</v>
      </c>
      <c r="AB105" s="175"/>
      <c r="AC105" s="121" t="s">
        <v>232</v>
      </c>
      <c r="AD105" s="175"/>
      <c r="AE105" s="175"/>
      <c r="AF105" s="175">
        <f>AA105*0.01*44/28</f>
        <v>94.500402857142859</v>
      </c>
      <c r="AG105" s="175"/>
      <c r="AH105" s="173">
        <f t="shared" si="6"/>
        <v>28161.120051428574</v>
      </c>
      <c r="AI105" s="73"/>
      <c r="AJ105" s="73"/>
      <c r="AK105" s="73"/>
      <c r="AL105" s="73"/>
      <c r="AM105" s="230"/>
      <c r="AN105" s="261" t="s">
        <v>247</v>
      </c>
      <c r="AO105" s="262"/>
      <c r="AP105" s="262"/>
      <c r="AQ105" s="262"/>
      <c r="AR105" s="262"/>
      <c r="AS105" s="262"/>
      <c r="AT105" s="263">
        <v>4.4355785000000002E-2</v>
      </c>
      <c r="AU105" s="73"/>
      <c r="AV105" s="73"/>
    </row>
    <row r="106" spans="5:48" x14ac:dyDescent="0.3">
      <c r="E106" s="174"/>
      <c r="F106" s="175"/>
      <c r="G106" s="175"/>
      <c r="H106" s="175"/>
      <c r="I106" s="175"/>
      <c r="J106" s="175"/>
      <c r="K106" s="175"/>
      <c r="L106" s="175"/>
      <c r="M106" s="175"/>
      <c r="N106" s="175"/>
      <c r="O106" s="175"/>
      <c r="P106" s="175"/>
      <c r="Q106" s="175"/>
      <c r="R106" s="175"/>
      <c r="S106" s="175"/>
      <c r="T106" s="175"/>
      <c r="U106" s="175"/>
      <c r="V106" s="175"/>
      <c r="W106" s="175"/>
      <c r="X106" s="175"/>
      <c r="Y106" s="175"/>
      <c r="Z106" s="175"/>
      <c r="AA106" s="175">
        <f>9103469/1000</f>
        <v>9103.4689999999991</v>
      </c>
      <c r="AB106" s="175"/>
      <c r="AC106" s="121" t="s">
        <v>233</v>
      </c>
      <c r="AD106" s="175"/>
      <c r="AE106" s="175"/>
      <c r="AF106" s="175">
        <f>AA106*0.01*44/28</f>
        <v>143.05451285714284</v>
      </c>
      <c r="AG106" s="175"/>
      <c r="AH106" s="173">
        <f t="shared" si="6"/>
        <v>42630.244831428565</v>
      </c>
      <c r="AI106" s="73"/>
      <c r="AJ106" s="73"/>
      <c r="AK106" s="73"/>
      <c r="AL106" s="230"/>
      <c r="AM106" s="73"/>
      <c r="AN106" s="261" t="s">
        <v>248</v>
      </c>
      <c r="AO106" s="262"/>
      <c r="AP106" s="262"/>
      <c r="AQ106" s="262"/>
      <c r="AR106" s="262"/>
      <c r="AS106" s="262"/>
      <c r="AT106" s="263">
        <v>1.3454987999999999E-2</v>
      </c>
      <c r="AU106" s="73"/>
      <c r="AV106" s="73"/>
    </row>
    <row r="107" spans="5:48" x14ac:dyDescent="0.3">
      <c r="E107" s="174"/>
      <c r="F107" s="175"/>
      <c r="G107" s="175"/>
      <c r="H107" s="175"/>
      <c r="I107" s="175"/>
      <c r="J107" s="175"/>
      <c r="K107" s="175"/>
      <c r="L107" s="175"/>
      <c r="M107" s="175"/>
      <c r="N107" s="175"/>
      <c r="O107" s="175"/>
      <c r="P107" s="175"/>
      <c r="Q107" s="175"/>
      <c r="R107" s="175"/>
      <c r="S107" s="175">
        <f>899600/1000</f>
        <v>899.6</v>
      </c>
      <c r="T107" s="175"/>
      <c r="U107" s="175"/>
      <c r="V107" s="175"/>
      <c r="W107" s="175"/>
      <c r="X107" s="175"/>
      <c r="Y107" s="175"/>
      <c r="Z107" s="175"/>
      <c r="AA107" s="175"/>
      <c r="AB107" s="175"/>
      <c r="AC107" s="121" t="s">
        <v>234</v>
      </c>
      <c r="AD107" s="175"/>
      <c r="AE107" s="175"/>
      <c r="AF107" s="175">
        <f>S107*0.01802565903847*44/28</f>
        <v>25.48210165444053</v>
      </c>
      <c r="AG107" s="175"/>
      <c r="AH107" s="173">
        <f t="shared" si="6"/>
        <v>7593.6662930232778</v>
      </c>
      <c r="AI107" s="73"/>
      <c r="AJ107" s="73"/>
      <c r="AK107" s="73"/>
      <c r="AL107" s="230"/>
      <c r="AM107" s="73"/>
      <c r="AN107" s="261" t="s">
        <v>249</v>
      </c>
      <c r="AO107" s="262"/>
      <c r="AP107" s="262"/>
      <c r="AQ107" s="262"/>
      <c r="AR107" s="262"/>
      <c r="AS107" s="262"/>
      <c r="AT107" s="263">
        <v>3.361198E-2</v>
      </c>
      <c r="AU107" s="73"/>
      <c r="AV107" s="73"/>
    </row>
    <row r="108" spans="5:48" x14ac:dyDescent="0.3">
      <c r="E108" s="174"/>
      <c r="F108" s="175"/>
      <c r="G108" s="175"/>
      <c r="H108" s="175"/>
      <c r="I108" s="175"/>
      <c r="J108" s="175"/>
      <c r="K108" s="175"/>
      <c r="L108" s="175"/>
      <c r="M108" s="175"/>
      <c r="N108" s="175"/>
      <c r="O108" s="175"/>
      <c r="P108" s="175"/>
      <c r="Q108" s="175"/>
      <c r="R108" s="175"/>
      <c r="S108" s="175">
        <f>1316182/1000</f>
        <v>1316.182</v>
      </c>
      <c r="T108" s="175"/>
      <c r="U108" s="175"/>
      <c r="V108" s="175"/>
      <c r="W108" s="175"/>
      <c r="X108" s="175"/>
      <c r="Y108" s="175"/>
      <c r="Z108" s="175"/>
      <c r="AA108" s="175"/>
      <c r="AB108" s="175"/>
      <c r="AC108" s="121" t="s">
        <v>235</v>
      </c>
      <c r="AD108" s="175"/>
      <c r="AE108" s="175"/>
      <c r="AF108" s="175">
        <f>S108*0.01*44/28</f>
        <v>20.682860000000002</v>
      </c>
      <c r="AG108" s="175"/>
      <c r="AH108" s="173">
        <f t="shared" si="6"/>
        <v>6163.4922800000004</v>
      </c>
      <c r="AI108" s="73"/>
      <c r="AJ108" s="73"/>
      <c r="AK108" s="73"/>
      <c r="AL108" s="230"/>
      <c r="AM108" s="73"/>
      <c r="AN108" s="261" t="s">
        <v>250</v>
      </c>
      <c r="AO108" s="262"/>
      <c r="AP108" s="262"/>
      <c r="AQ108" s="262"/>
      <c r="AR108" s="262"/>
      <c r="AS108" s="262"/>
      <c r="AT108" s="263">
        <v>7.7802725000000003E-2</v>
      </c>
      <c r="AU108" s="73"/>
      <c r="AV108" s="73"/>
    </row>
    <row r="109" spans="5:48" x14ac:dyDescent="0.3">
      <c r="E109" s="174"/>
      <c r="F109" s="175"/>
      <c r="G109" s="175"/>
      <c r="H109" s="175"/>
      <c r="I109" s="175"/>
      <c r="J109" s="175"/>
      <c r="K109" s="175"/>
      <c r="L109" s="175"/>
      <c r="M109" s="175"/>
      <c r="N109" s="175"/>
      <c r="O109" s="175"/>
      <c r="P109" s="175"/>
      <c r="Q109" s="175"/>
      <c r="R109" s="175"/>
      <c r="S109" s="175">
        <f>3779283/1000</f>
        <v>3779.2829999999999</v>
      </c>
      <c r="T109" s="175"/>
      <c r="U109" s="175"/>
      <c r="V109" s="175"/>
      <c r="W109" s="175"/>
      <c r="X109" s="175"/>
      <c r="Y109" s="175"/>
      <c r="Z109" s="175"/>
      <c r="AA109" s="175"/>
      <c r="AB109" s="175"/>
      <c r="AC109" s="121" t="s">
        <v>236</v>
      </c>
      <c r="AD109" s="175"/>
      <c r="AE109" s="175"/>
      <c r="AF109" s="175">
        <f>S109*0.0075*44/28</f>
        <v>44.541549642857142</v>
      </c>
      <c r="AG109" s="175"/>
      <c r="AH109" s="173">
        <f t="shared" si="6"/>
        <v>13273.381793571429</v>
      </c>
      <c r="AI109" s="73"/>
      <c r="AJ109" s="73"/>
      <c r="AK109" s="73"/>
      <c r="AL109" s="73"/>
      <c r="AM109" s="73"/>
      <c r="AN109" s="261" t="s">
        <v>251</v>
      </c>
      <c r="AO109" s="262"/>
      <c r="AP109" s="262"/>
      <c r="AQ109" s="262"/>
      <c r="AR109" s="262"/>
      <c r="AS109" s="262"/>
      <c r="AT109" s="263">
        <v>2.5828534399999999E-2</v>
      </c>
      <c r="AU109" s="73"/>
      <c r="AV109" s="73"/>
    </row>
    <row r="110" spans="5:48" x14ac:dyDescent="0.3">
      <c r="E110" s="174"/>
      <c r="F110" s="175"/>
      <c r="G110" s="175"/>
      <c r="H110" s="175"/>
      <c r="I110" s="175"/>
      <c r="J110" s="175"/>
      <c r="K110" s="175"/>
      <c r="L110" s="175"/>
      <c r="M110" s="175"/>
      <c r="N110" s="175"/>
      <c r="O110" s="175"/>
      <c r="P110" s="175"/>
      <c r="Q110" s="175"/>
      <c r="R110" s="175"/>
      <c r="S110" s="175"/>
      <c r="T110" s="175"/>
      <c r="U110" s="175"/>
      <c r="V110" s="175"/>
      <c r="W110" s="175"/>
      <c r="X110" s="175"/>
      <c r="Y110" s="175"/>
      <c r="Z110" s="175"/>
      <c r="AA110" s="175"/>
      <c r="AB110" s="175">
        <v>15780.796076606115</v>
      </c>
      <c r="AC110" s="121" t="s">
        <v>208</v>
      </c>
      <c r="AD110" s="175">
        <f>AB110*0.12*44/12</f>
        <v>6943.5502737066899</v>
      </c>
      <c r="AE110" s="175"/>
      <c r="AF110" s="175"/>
      <c r="AG110" s="175"/>
      <c r="AH110" s="173">
        <f>AD110</f>
        <v>6943.5502737066899</v>
      </c>
      <c r="AI110" s="73"/>
      <c r="AJ110" s="73"/>
      <c r="AK110" s="73"/>
      <c r="AL110" s="73"/>
      <c r="AM110" s="73"/>
      <c r="AN110" s="261" t="s">
        <v>252</v>
      </c>
      <c r="AO110" s="262"/>
      <c r="AP110" s="262"/>
      <c r="AQ110" s="262"/>
      <c r="AR110" s="262"/>
      <c r="AS110" s="262"/>
      <c r="AT110" s="263">
        <v>3.1998940000000003E-2</v>
      </c>
      <c r="AU110" s="73"/>
      <c r="AV110" s="73"/>
    </row>
    <row r="111" spans="5:48" x14ac:dyDescent="0.3">
      <c r="E111" s="174"/>
      <c r="F111" s="175"/>
      <c r="G111" s="175"/>
      <c r="H111" s="175"/>
      <c r="I111" s="175"/>
      <c r="J111" s="175"/>
      <c r="K111" s="175"/>
      <c r="L111" s="175"/>
      <c r="M111" s="175"/>
      <c r="N111" s="175"/>
      <c r="O111" s="175"/>
      <c r="P111" s="175"/>
      <c r="Q111" s="175"/>
      <c r="R111" s="175"/>
      <c r="S111" s="175"/>
      <c r="T111" s="175"/>
      <c r="U111" s="175"/>
      <c r="V111" s="175"/>
      <c r="W111" s="175"/>
      <c r="X111" s="175"/>
      <c r="Y111" s="175"/>
      <c r="Z111" s="175"/>
      <c r="AA111" s="175"/>
      <c r="AB111" s="175">
        <v>54.984419474915612</v>
      </c>
      <c r="AC111" s="121" t="s">
        <v>209</v>
      </c>
      <c r="AD111" s="175">
        <f>AB111*0.2*44/12</f>
        <v>40.321907614938119</v>
      </c>
      <c r="AE111" s="175"/>
      <c r="AF111" s="175"/>
      <c r="AG111" s="175"/>
      <c r="AH111" s="173">
        <f>AD111</f>
        <v>40.321907614938119</v>
      </c>
      <c r="AI111" s="73"/>
      <c r="AJ111" s="73"/>
      <c r="AK111" s="73"/>
      <c r="AL111" s="73"/>
      <c r="AM111" s="73"/>
      <c r="AN111" s="261" t="s">
        <v>253</v>
      </c>
      <c r="AO111" s="262"/>
      <c r="AP111" s="262"/>
      <c r="AQ111" s="262"/>
      <c r="AR111" s="262"/>
      <c r="AS111" s="262"/>
      <c r="AT111" s="263">
        <v>3.1216724000000001E-2</v>
      </c>
      <c r="AU111" s="73"/>
      <c r="AV111" s="73"/>
    </row>
    <row r="112" spans="5:48" ht="16.2" thickBot="1" x14ac:dyDescent="0.4">
      <c r="E112" s="250"/>
      <c r="F112" s="251"/>
      <c r="G112" s="251"/>
      <c r="H112" s="251"/>
      <c r="I112" s="251"/>
      <c r="J112" s="251"/>
      <c r="K112" s="251"/>
      <c r="L112" s="251"/>
      <c r="M112" s="251"/>
      <c r="N112" s="251"/>
      <c r="O112" s="251"/>
      <c r="P112" s="251"/>
      <c r="Q112" s="251"/>
      <c r="R112" s="251"/>
      <c r="S112" s="251"/>
      <c r="T112" s="251"/>
      <c r="U112" s="251"/>
      <c r="V112" s="251"/>
      <c r="W112" s="251"/>
      <c r="X112" s="251"/>
      <c r="Y112" s="251"/>
      <c r="Z112" s="251"/>
      <c r="AA112" s="251"/>
      <c r="AB112" s="251">
        <v>755.31228857647216</v>
      </c>
      <c r="AC112" s="123" t="s">
        <v>210</v>
      </c>
      <c r="AD112" s="251">
        <f>AB112*0.03*44/12</f>
        <v>83.084351743411929</v>
      </c>
      <c r="AE112" s="251"/>
      <c r="AF112" s="251"/>
      <c r="AG112" s="251"/>
      <c r="AH112" s="186">
        <f>AD112</f>
        <v>83.084351743411929</v>
      </c>
      <c r="AI112" s="73"/>
      <c r="AJ112" s="73"/>
      <c r="AK112" s="73"/>
      <c r="AL112" s="73"/>
      <c r="AM112" s="73"/>
      <c r="AN112" s="261" t="s">
        <v>254</v>
      </c>
      <c r="AO112" s="262"/>
      <c r="AP112" s="262"/>
      <c r="AQ112" s="262"/>
      <c r="AR112" s="262"/>
      <c r="AS112" s="262"/>
      <c r="AT112" s="263">
        <v>0.1336068</v>
      </c>
      <c r="AU112" s="73"/>
      <c r="AV112" s="73"/>
    </row>
    <row r="113" spans="1:48" ht="15" thickBot="1" x14ac:dyDescent="0.35">
      <c r="E113" s="252"/>
      <c r="F113" s="253"/>
      <c r="G113" s="253"/>
      <c r="H113" s="253"/>
      <c r="I113" s="253"/>
      <c r="J113" s="253"/>
      <c r="K113" s="253"/>
      <c r="L113" s="253"/>
      <c r="M113" s="253"/>
      <c r="N113" s="253"/>
      <c r="O113" s="253"/>
      <c r="P113" s="253"/>
      <c r="Q113" s="253"/>
      <c r="R113" s="253"/>
      <c r="S113" s="253"/>
      <c r="T113" s="253"/>
      <c r="U113" s="253"/>
      <c r="V113" s="253"/>
      <c r="W113" s="253"/>
      <c r="X113" s="253"/>
      <c r="Y113" s="253"/>
      <c r="Z113" s="253"/>
      <c r="AA113" s="253"/>
      <c r="AB113" s="253"/>
      <c r="AC113" s="254" t="s">
        <v>237</v>
      </c>
      <c r="AD113" s="255">
        <f>SUM(AD99:AD100,AD105:AD112,AD120:AD121,AD124:AD131)</f>
        <v>7066.9565330650403</v>
      </c>
      <c r="AE113" s="255">
        <f>SUM(AE99:AE100,AE105:AE112,AE120:AE121,AE124:AE131)</f>
        <v>0</v>
      </c>
      <c r="AF113" s="255">
        <f>SUM(AF99:AF100,AF102:AF112,AF120:AF121,AF124:AF131)</f>
        <v>480.78974384985139</v>
      </c>
      <c r="AG113" s="255">
        <f>SUM(AG99:AG100,AG105:AG112,AG120:AG121,AG124:AG131)</f>
        <v>0</v>
      </c>
      <c r="AH113" s="256">
        <f>SUM(AH99:AH103,AH105:AH112,AH120:AH122,AH124:AH131)</f>
        <v>150311.1404688922</v>
      </c>
      <c r="AI113" s="73"/>
      <c r="AJ113" s="73"/>
      <c r="AK113" s="73"/>
      <c r="AL113" s="73"/>
      <c r="AM113" s="230"/>
      <c r="AN113" s="261" t="s">
        <v>255</v>
      </c>
      <c r="AO113" s="262"/>
      <c r="AP113" s="262"/>
      <c r="AQ113" s="262"/>
      <c r="AR113" s="262"/>
      <c r="AS113" s="262"/>
      <c r="AT113" s="263">
        <v>3.2117048127081278E-2</v>
      </c>
      <c r="AU113" s="73"/>
      <c r="AV113" s="73"/>
    </row>
    <row r="114" spans="1:48" ht="16.2" thickBot="1" x14ac:dyDescent="0.4">
      <c r="E114" s="257" t="s">
        <v>238</v>
      </c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  <c r="AA114" s="73"/>
      <c r="AB114" s="73"/>
      <c r="AC114" s="73"/>
      <c r="AD114" s="73"/>
      <c r="AE114" s="73"/>
      <c r="AF114" s="73"/>
      <c r="AG114" s="73"/>
      <c r="AH114" s="73"/>
      <c r="AI114" s="73"/>
      <c r="AJ114" s="73"/>
      <c r="AK114" s="73"/>
      <c r="AL114" s="73"/>
      <c r="AM114" s="73"/>
      <c r="AN114" s="264" t="s">
        <v>256</v>
      </c>
      <c r="AO114" s="265"/>
      <c r="AP114" s="265"/>
      <c r="AQ114" s="265"/>
      <c r="AR114" s="265"/>
      <c r="AS114" s="265"/>
      <c r="AT114" s="266" t="s">
        <v>257</v>
      </c>
      <c r="AU114" s="73"/>
      <c r="AV114" s="73"/>
    </row>
    <row r="115" spans="1:48" x14ac:dyDescent="0.3">
      <c r="E115" s="257" t="s">
        <v>239</v>
      </c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  <c r="AE115" s="73"/>
      <c r="AF115" s="73"/>
      <c r="AG115" s="73"/>
      <c r="AH115" s="73"/>
      <c r="AI115" s="73"/>
    </row>
    <row r="116" spans="1:48" x14ac:dyDescent="0.3"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  <c r="AA116" s="73"/>
      <c r="AB116" s="73"/>
      <c r="AC116" s="73"/>
      <c r="AD116" s="73"/>
      <c r="AE116" s="73"/>
      <c r="AF116" s="73"/>
      <c r="AG116" s="73"/>
      <c r="AH116" s="73"/>
      <c r="AI116" s="73"/>
    </row>
    <row r="119" spans="1:48" ht="25.8" x14ac:dyDescent="0.5">
      <c r="A119" s="113"/>
      <c r="B119" s="114" t="s">
        <v>84</v>
      </c>
      <c r="C119" s="113"/>
      <c r="D119" s="113"/>
      <c r="E119" s="113"/>
      <c r="F119" s="113"/>
    </row>
    <row r="120" spans="1:48" ht="15" thickBot="1" x14ac:dyDescent="0.35"/>
    <row r="121" spans="1:48" ht="15" thickBot="1" x14ac:dyDescent="0.35">
      <c r="B121" s="118" t="s">
        <v>79</v>
      </c>
      <c r="C121" s="523" t="s">
        <v>83</v>
      </c>
      <c r="D121" s="523"/>
      <c r="E121" s="523"/>
      <c r="F121" s="524"/>
    </row>
    <row r="122" spans="1:48" x14ac:dyDescent="0.3">
      <c r="B122" s="117" t="s">
        <v>80</v>
      </c>
      <c r="C122" s="525">
        <v>1</v>
      </c>
      <c r="D122" s="525"/>
      <c r="E122" s="525"/>
      <c r="F122" s="526"/>
    </row>
    <row r="123" spans="1:48" x14ac:dyDescent="0.3">
      <c r="B123" s="115" t="s">
        <v>81</v>
      </c>
      <c r="C123" s="527">
        <v>25</v>
      </c>
      <c r="D123" s="527"/>
      <c r="E123" s="527"/>
      <c r="F123" s="528"/>
    </row>
    <row r="124" spans="1:48" ht="15" thickBot="1" x14ac:dyDescent="0.35">
      <c r="B124" s="116" t="s">
        <v>82</v>
      </c>
      <c r="C124" s="529">
        <v>298</v>
      </c>
      <c r="D124" s="529"/>
      <c r="E124" s="529"/>
      <c r="F124" s="530"/>
    </row>
  </sheetData>
  <mergeCells count="13">
    <mergeCell ref="C124:F124"/>
    <mergeCell ref="E98:AH98"/>
    <mergeCell ref="E101:AH101"/>
    <mergeCell ref="AN99:AS99"/>
    <mergeCell ref="C121:F121"/>
    <mergeCell ref="C122:F122"/>
    <mergeCell ref="C123:F123"/>
    <mergeCell ref="K71:Z71"/>
    <mergeCell ref="AD71:AH71"/>
    <mergeCell ref="E91:H91"/>
    <mergeCell ref="E92:F92"/>
    <mergeCell ref="E96:AB96"/>
    <mergeCell ref="AD96:AH96"/>
  </mergeCells>
  <pageMargins left="0.7" right="0.7" top="0.75" bottom="0.75" header="0.3" footer="0.3"/>
  <ignoredErrors>
    <ignoredError sqref="C23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7CA67-D33D-4E54-9F37-100F16D1DE2D}">
  <dimension ref="A1:V84"/>
  <sheetViews>
    <sheetView workbookViewId="0">
      <selection activeCell="A53" sqref="A53:F59"/>
    </sheetView>
  </sheetViews>
  <sheetFormatPr defaultRowHeight="14.4" x14ac:dyDescent="0.3"/>
  <cols>
    <col min="2" max="2" width="42.44140625" customWidth="1"/>
    <col min="3" max="3" width="12" customWidth="1"/>
    <col min="4" max="4" width="16.109375" bestFit="1" customWidth="1"/>
    <col min="16" max="16" width="56.6640625" customWidth="1"/>
  </cols>
  <sheetData>
    <row r="1" spans="2:7" s="1" customFormat="1" ht="22.8" x14ac:dyDescent="0.4">
      <c r="B1" s="3" t="s">
        <v>142</v>
      </c>
      <c r="G1" s="112" t="s">
        <v>78</v>
      </c>
    </row>
    <row r="3" spans="2:7" ht="15" thickBot="1" x14ac:dyDescent="0.35"/>
    <row r="4" spans="2:7" ht="15" thickBot="1" x14ac:dyDescent="0.35">
      <c r="B4" s="5" t="s">
        <v>143</v>
      </c>
      <c r="C4" s="192">
        <v>2018</v>
      </c>
    </row>
    <row r="5" spans="2:7" x14ac:dyDescent="0.3">
      <c r="B5" s="193" t="s">
        <v>144</v>
      </c>
      <c r="C5" s="194">
        <f>H54+I62+J62+K62+N62</f>
        <v>26224.51</v>
      </c>
    </row>
    <row r="6" spans="2:7" x14ac:dyDescent="0.3">
      <c r="B6" s="195" t="s">
        <v>145</v>
      </c>
      <c r="C6" s="196">
        <f>I55+H63+J63+K63+N63</f>
        <v>90827.885000000009</v>
      </c>
    </row>
    <row r="7" spans="2:7" x14ac:dyDescent="0.3">
      <c r="B7" s="195" t="s">
        <v>146</v>
      </c>
      <c r="C7" s="196">
        <f>J56+N64+K64+I64+H64</f>
        <v>7272.505000000001</v>
      </c>
    </row>
    <row r="8" spans="2:7" x14ac:dyDescent="0.3">
      <c r="B8" s="195" t="s">
        <v>147</v>
      </c>
      <c r="C8" s="196">
        <f>K57+J65+I65+H65</f>
        <v>2148.88</v>
      </c>
    </row>
    <row r="9" spans="2:7" x14ac:dyDescent="0.3">
      <c r="B9" s="195" t="s">
        <v>148</v>
      </c>
      <c r="C9" s="196">
        <f>L58+J66+I66+H66</f>
        <v>2314.1925000000001</v>
      </c>
    </row>
    <row r="10" spans="2:7" x14ac:dyDescent="0.3">
      <c r="B10" s="195" t="s">
        <v>149</v>
      </c>
      <c r="C10" s="196">
        <f>M59+N67+K67+J67+I67+H67</f>
        <v>12681.872499999999</v>
      </c>
    </row>
    <row r="11" spans="2:7" ht="15" thickBot="1" x14ac:dyDescent="0.35">
      <c r="B11" s="195" t="s">
        <v>150</v>
      </c>
      <c r="C11" s="196">
        <f>N60+N68</f>
        <v>60.25</v>
      </c>
    </row>
    <row r="12" spans="2:7" ht="15" thickBot="1" x14ac:dyDescent="0.35">
      <c r="B12" s="72" t="s">
        <v>23</v>
      </c>
      <c r="C12" s="199">
        <f>SUM(C5:C11)</f>
        <v>141530.09500000003</v>
      </c>
    </row>
    <row r="14" spans="2:7" ht="15" thickBot="1" x14ac:dyDescent="0.35"/>
    <row r="15" spans="2:7" ht="29.4" thickBot="1" x14ac:dyDescent="0.4">
      <c r="B15" s="202" t="s">
        <v>151</v>
      </c>
      <c r="C15" s="192">
        <v>2018</v>
      </c>
    </row>
    <row r="16" spans="2:7" ht="15" thickBot="1" x14ac:dyDescent="0.35">
      <c r="B16" s="193" t="s">
        <v>144</v>
      </c>
      <c r="C16" s="194">
        <f>V54</f>
        <v>18271.649154274157</v>
      </c>
    </row>
    <row r="17" spans="2:6" ht="15" thickBot="1" x14ac:dyDescent="0.35">
      <c r="B17" s="195" t="s">
        <v>145</v>
      </c>
      <c r="C17" s="194">
        <f t="shared" ref="C17:C19" si="0">V55</f>
        <v>232439.192983694</v>
      </c>
    </row>
    <row r="18" spans="2:6" ht="15" thickBot="1" x14ac:dyDescent="0.35">
      <c r="B18" s="195" t="s">
        <v>152</v>
      </c>
      <c r="C18" s="194">
        <f t="shared" si="0"/>
        <v>27165.796391934386</v>
      </c>
    </row>
    <row r="19" spans="2:6" ht="15" thickBot="1" x14ac:dyDescent="0.35">
      <c r="B19" s="203" t="s">
        <v>153</v>
      </c>
      <c r="C19" s="194">
        <f t="shared" si="0"/>
        <v>0</v>
      </c>
    </row>
    <row r="21" spans="2:6" ht="15" thickBot="1" x14ac:dyDescent="0.35"/>
    <row r="22" spans="2:6" x14ac:dyDescent="0.3">
      <c r="B22" s="547" t="s">
        <v>154</v>
      </c>
      <c r="C22" s="549">
        <v>2018</v>
      </c>
      <c r="D22" s="549"/>
      <c r="E22" s="549"/>
      <c r="F22" s="550"/>
    </row>
    <row r="23" spans="2:6" ht="16.2" x14ac:dyDescent="0.35">
      <c r="B23" s="548"/>
      <c r="C23" s="209" t="s">
        <v>160</v>
      </c>
      <c r="D23" s="205" t="s">
        <v>155</v>
      </c>
      <c r="E23" s="205" t="s">
        <v>156</v>
      </c>
      <c r="F23" s="206" t="s">
        <v>157</v>
      </c>
    </row>
    <row r="24" spans="2:6" ht="28.2" x14ac:dyDescent="0.3">
      <c r="B24" s="207" t="s">
        <v>158</v>
      </c>
      <c r="C24" s="4">
        <f>V72+V73</f>
        <v>8384.4247243749996</v>
      </c>
      <c r="D24" s="4">
        <f>Q72+Q73</f>
        <v>1040.8973624999999</v>
      </c>
      <c r="E24" s="4">
        <f>R72+R73</f>
        <v>258.88684312499998</v>
      </c>
      <c r="F24" s="4">
        <f>S72+S73</f>
        <v>2.9240143749999996</v>
      </c>
    </row>
    <row r="25" spans="2:6" ht="28.8" thickBot="1" x14ac:dyDescent="0.35">
      <c r="B25" s="208" t="s">
        <v>159</v>
      </c>
      <c r="C25" s="19">
        <f>V74+V75</f>
        <v>142.71562500000002</v>
      </c>
      <c r="D25" s="19">
        <f>Q74+Q75</f>
        <v>0</v>
      </c>
      <c r="E25" s="19">
        <f t="shared" ref="E25:F25" si="1">R74+R75</f>
        <v>5.7086250000000005</v>
      </c>
      <c r="F25" s="19">
        <f t="shared" si="1"/>
        <v>0</v>
      </c>
    </row>
    <row r="27" spans="2:6" ht="15" thickBot="1" x14ac:dyDescent="0.35"/>
    <row r="28" spans="2:6" x14ac:dyDescent="0.3">
      <c r="B28" s="551" t="s">
        <v>161</v>
      </c>
      <c r="C28" s="553">
        <v>2018</v>
      </c>
      <c r="D28" s="553"/>
      <c r="E28" s="554"/>
    </row>
    <row r="29" spans="2:6" ht="15" thickBot="1" x14ac:dyDescent="0.35">
      <c r="B29" s="552"/>
      <c r="C29" s="210"/>
      <c r="D29" s="217" t="s">
        <v>135</v>
      </c>
      <c r="E29" s="211" t="s">
        <v>23</v>
      </c>
    </row>
    <row r="30" spans="2:6" x14ac:dyDescent="0.3">
      <c r="B30" s="207" t="s">
        <v>162</v>
      </c>
      <c r="C30" s="13">
        <f>V62</f>
        <v>-11191.363519154853</v>
      </c>
      <c r="D30" s="212" t="s">
        <v>53</v>
      </c>
      <c r="E30" s="213">
        <f>SUM(C30:D30)</f>
        <v>-11191.363519154853</v>
      </c>
    </row>
    <row r="31" spans="2:6" x14ac:dyDescent="0.3">
      <c r="B31" s="207" t="s">
        <v>163</v>
      </c>
      <c r="C31" s="4">
        <f>V63</f>
        <v>2589.5385525172219</v>
      </c>
      <c r="D31" s="4">
        <f>V69</f>
        <v>93.521780266751747</v>
      </c>
      <c r="E31" s="213">
        <f t="shared" ref="E31:E34" si="2">SUM(C31:D31)</f>
        <v>2683.0603327839735</v>
      </c>
    </row>
    <row r="32" spans="2:6" x14ac:dyDescent="0.3">
      <c r="B32" s="207" t="s">
        <v>164</v>
      </c>
      <c r="C32" s="4">
        <f t="shared" ref="C32:C33" si="3">V64</f>
        <v>1005.7688084751618</v>
      </c>
      <c r="D32" s="4">
        <f>V70</f>
        <v>20.8613812697104</v>
      </c>
      <c r="E32" s="213">
        <f t="shared" si="2"/>
        <v>1026.6301897448723</v>
      </c>
    </row>
    <row r="33" spans="2:22" ht="28.2" x14ac:dyDescent="0.3">
      <c r="B33" s="214" t="s">
        <v>165</v>
      </c>
      <c r="C33" s="4" t="str">
        <f t="shared" si="3"/>
        <v>NO</v>
      </c>
      <c r="D33" s="215" t="s">
        <v>53</v>
      </c>
      <c r="E33" s="213">
        <f t="shared" si="2"/>
        <v>0</v>
      </c>
    </row>
    <row r="34" spans="2:22" ht="15" thickBot="1" x14ac:dyDescent="0.35">
      <c r="B34" s="208" t="s">
        <v>166</v>
      </c>
      <c r="C34" s="4">
        <f>V67</f>
        <v>5425.5466752828288</v>
      </c>
      <c r="D34" s="19">
        <f>V71</f>
        <v>1700.7152169658107</v>
      </c>
      <c r="E34" s="216">
        <f t="shared" si="2"/>
        <v>7126.2618922486399</v>
      </c>
    </row>
    <row r="36" spans="2:22" ht="15" thickBot="1" x14ac:dyDescent="0.35"/>
    <row r="37" spans="2:22" ht="30.6" thickBot="1" x14ac:dyDescent="0.4">
      <c r="B37" s="5" t="s">
        <v>167</v>
      </c>
      <c r="C37" s="218">
        <v>2018</v>
      </c>
    </row>
    <row r="38" spans="2:22" x14ac:dyDescent="0.3">
      <c r="B38" s="219" t="s">
        <v>168</v>
      </c>
      <c r="C38" s="194">
        <f>V77</f>
        <v>18590.107500000002</v>
      </c>
    </row>
    <row r="39" spans="2:22" ht="15" thickBot="1" x14ac:dyDescent="0.35">
      <c r="B39" s="208" t="s">
        <v>169</v>
      </c>
      <c r="C39" s="204">
        <f>V79</f>
        <v>0</v>
      </c>
    </row>
    <row r="45" spans="2:22" x14ac:dyDescent="0.3"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229"/>
      <c r="T45" s="73"/>
      <c r="U45" s="73"/>
      <c r="V45" s="230"/>
    </row>
    <row r="46" spans="2:22" ht="15.6" x14ac:dyDescent="0.3">
      <c r="G46" s="286"/>
      <c r="H46" s="286"/>
      <c r="I46" s="286"/>
      <c r="J46" s="286"/>
      <c r="K46" s="73"/>
      <c r="L46" s="73"/>
      <c r="M46" s="73"/>
      <c r="N46" s="73"/>
      <c r="O46" s="73"/>
      <c r="P46" s="231" t="s">
        <v>259</v>
      </c>
      <c r="Q46" s="73"/>
      <c r="R46" s="73"/>
      <c r="S46" s="229"/>
      <c r="T46" s="73"/>
      <c r="U46" s="73"/>
      <c r="V46" s="230"/>
    </row>
    <row r="47" spans="2:22" ht="28.2" x14ac:dyDescent="0.3">
      <c r="G47" s="287"/>
      <c r="H47" s="286"/>
      <c r="I47" s="288"/>
      <c r="J47" s="286"/>
      <c r="K47" s="73"/>
      <c r="L47" s="73"/>
      <c r="M47" s="73"/>
      <c r="N47" s="73"/>
      <c r="O47" s="73"/>
      <c r="P47" s="77" t="s">
        <v>211</v>
      </c>
      <c r="Q47" s="73"/>
      <c r="R47" s="73"/>
      <c r="S47" s="229"/>
      <c r="T47" s="73"/>
      <c r="U47" s="73"/>
      <c r="V47" s="230"/>
    </row>
    <row r="48" spans="2:22" x14ac:dyDescent="0.3">
      <c r="G48" s="73"/>
      <c r="H48" s="73"/>
      <c r="I48" s="73"/>
      <c r="J48" s="73"/>
      <c r="K48" s="73"/>
      <c r="L48" s="73"/>
      <c r="M48" s="73"/>
      <c r="N48" s="73"/>
      <c r="O48" s="73"/>
      <c r="P48" s="76" t="s">
        <v>56</v>
      </c>
      <c r="Q48" s="73"/>
      <c r="R48" s="73"/>
      <c r="S48" s="229"/>
      <c r="T48" s="73"/>
      <c r="U48" s="73"/>
      <c r="V48" s="230"/>
    </row>
    <row r="49" spans="1:22" x14ac:dyDescent="0.3">
      <c r="G49" s="73"/>
      <c r="H49" s="74"/>
      <c r="I49" s="74"/>
      <c r="J49" s="74"/>
      <c r="K49" s="234"/>
      <c r="L49" s="74"/>
      <c r="M49" s="73"/>
      <c r="N49" s="73"/>
      <c r="O49" s="73"/>
      <c r="P49" s="73"/>
      <c r="Q49" s="73"/>
      <c r="R49" s="73"/>
      <c r="S49" s="229"/>
      <c r="T49" s="73"/>
      <c r="U49" s="73"/>
      <c r="V49" s="230"/>
    </row>
    <row r="50" spans="1:22" ht="28.2" x14ac:dyDescent="0.5">
      <c r="G50" s="73"/>
      <c r="H50" s="74"/>
      <c r="I50" s="235"/>
      <c r="J50" s="236"/>
      <c r="K50" s="234"/>
      <c r="L50" s="74"/>
      <c r="M50" s="73"/>
      <c r="N50" s="73"/>
      <c r="O50" s="73"/>
      <c r="P50" s="73"/>
      <c r="Q50" s="73"/>
      <c r="R50" s="73"/>
      <c r="S50" s="229"/>
      <c r="T50" s="73"/>
      <c r="U50" s="73"/>
      <c r="V50" s="230"/>
    </row>
    <row r="51" spans="1:22" ht="17.399999999999999" thickBot="1" x14ac:dyDescent="0.35">
      <c r="G51" s="73"/>
      <c r="H51" s="532" t="s">
        <v>260</v>
      </c>
      <c r="I51" s="532"/>
      <c r="J51" s="532"/>
      <c r="K51" s="532"/>
      <c r="L51" s="532"/>
      <c r="M51" s="532"/>
      <c r="N51" s="532"/>
      <c r="O51" s="532"/>
      <c r="P51" s="76" t="s">
        <v>89</v>
      </c>
      <c r="Q51" s="532" t="s">
        <v>125</v>
      </c>
      <c r="R51" s="532"/>
      <c r="S51" s="532"/>
      <c r="T51" s="532"/>
      <c r="U51" s="532"/>
      <c r="V51" s="532"/>
    </row>
    <row r="52" spans="1:22" ht="255.6" x14ac:dyDescent="0.3">
      <c r="G52" s="73"/>
      <c r="H52" s="237" t="s">
        <v>297</v>
      </c>
      <c r="I52" s="238" t="s">
        <v>298</v>
      </c>
      <c r="J52" s="238" t="s">
        <v>299</v>
      </c>
      <c r="K52" s="238" t="s">
        <v>300</v>
      </c>
      <c r="L52" s="238" t="s">
        <v>148</v>
      </c>
      <c r="M52" s="238" t="s">
        <v>301</v>
      </c>
      <c r="N52" s="238" t="s">
        <v>302</v>
      </c>
      <c r="O52" s="238" t="s">
        <v>303</v>
      </c>
      <c r="P52" s="243"/>
      <c r="Q52" s="244" t="s">
        <v>222</v>
      </c>
      <c r="R52" s="238" t="s">
        <v>223</v>
      </c>
      <c r="S52" s="245" t="s">
        <v>127</v>
      </c>
      <c r="T52" s="238" t="s">
        <v>261</v>
      </c>
      <c r="U52" s="244" t="s">
        <v>262</v>
      </c>
      <c r="V52" s="246" t="s">
        <v>263</v>
      </c>
    </row>
    <row r="53" spans="1:22" ht="25.8" x14ac:dyDescent="0.5">
      <c r="A53" s="113"/>
      <c r="B53" s="114" t="s">
        <v>84</v>
      </c>
      <c r="C53" s="113"/>
      <c r="D53" s="113"/>
      <c r="E53" s="113"/>
      <c r="F53" s="113"/>
      <c r="G53" s="268"/>
      <c r="H53" s="555" t="s">
        <v>264</v>
      </c>
      <c r="I53" s="556"/>
      <c r="J53" s="556"/>
      <c r="K53" s="556"/>
      <c r="L53" s="556"/>
      <c r="M53" s="556"/>
      <c r="N53" s="556"/>
      <c r="O53" s="556"/>
      <c r="P53" s="556"/>
      <c r="Q53" s="556"/>
      <c r="R53" s="556"/>
      <c r="S53" s="556"/>
      <c r="T53" s="556"/>
      <c r="U53" s="556"/>
      <c r="V53" s="557"/>
    </row>
    <row r="54" spans="1:22" ht="21.6" thickBot="1" x14ac:dyDescent="0.35">
      <c r="G54" s="268"/>
      <c r="H54" s="269">
        <v>21365</v>
      </c>
      <c r="I54" s="4"/>
      <c r="J54" s="4"/>
      <c r="K54" s="4"/>
      <c r="L54" s="4"/>
      <c r="M54" s="4"/>
      <c r="N54" s="4"/>
      <c r="O54" s="4"/>
      <c r="P54" s="270" t="s">
        <v>265</v>
      </c>
      <c r="Q54" s="175"/>
      <c r="R54" s="175"/>
      <c r="S54" s="175"/>
      <c r="T54" s="175">
        <v>-4983.1770420747707</v>
      </c>
      <c r="U54" s="175">
        <f>V54/SUM(H54:O54)</f>
        <v>0.85521409568332118</v>
      </c>
      <c r="V54" s="173">
        <f>T54*-(44/12)</f>
        <v>18271.649154274157</v>
      </c>
    </row>
    <row r="55" spans="1:22" ht="21.6" thickBot="1" x14ac:dyDescent="0.35">
      <c r="B55" s="118" t="s">
        <v>79</v>
      </c>
      <c r="C55" s="523" t="s">
        <v>83</v>
      </c>
      <c r="D55" s="523"/>
      <c r="E55" s="523"/>
      <c r="F55" s="524"/>
      <c r="G55" s="268"/>
      <c r="H55" s="269"/>
      <c r="I55" s="4">
        <v>89783.625</v>
      </c>
      <c r="J55" s="4"/>
      <c r="K55" s="4"/>
      <c r="L55" s="4"/>
      <c r="M55" s="4"/>
      <c r="N55" s="4"/>
      <c r="O55" s="4"/>
      <c r="P55" s="270" t="s">
        <v>266</v>
      </c>
      <c r="Q55" s="175"/>
      <c r="R55" s="175"/>
      <c r="S55" s="175"/>
      <c r="T55" s="4">
        <v>-63392.507177371095</v>
      </c>
      <c r="U55" s="175">
        <f t="shared" ref="U55:U77" si="4">V55/SUM(H55:O55)</f>
        <v>2.5888818031539045</v>
      </c>
      <c r="V55" s="173">
        <f>T55*-(44/12)</f>
        <v>232439.192983694</v>
      </c>
    </row>
    <row r="56" spans="1:22" ht="21" x14ac:dyDescent="0.3">
      <c r="B56" s="117" t="s">
        <v>80</v>
      </c>
      <c r="C56" s="525">
        <v>1</v>
      </c>
      <c r="D56" s="525"/>
      <c r="E56" s="525"/>
      <c r="F56" s="526"/>
      <c r="G56" s="268"/>
      <c r="H56" s="269"/>
      <c r="I56" s="4"/>
      <c r="J56" s="4">
        <v>4723.125</v>
      </c>
      <c r="K56" s="4"/>
      <c r="L56" s="4"/>
      <c r="M56" s="4"/>
      <c r="N56" s="4"/>
      <c r="O56" s="4"/>
      <c r="P56" s="270" t="s">
        <v>267</v>
      </c>
      <c r="Q56" s="175"/>
      <c r="R56" s="175"/>
      <c r="S56" s="175"/>
      <c r="T56" s="175">
        <v>-7408.853561436651</v>
      </c>
      <c r="U56" s="175">
        <f t="shared" si="4"/>
        <v>5.7516573014549444</v>
      </c>
      <c r="V56" s="173">
        <f>T56*-(44/12)</f>
        <v>27165.796391934386</v>
      </c>
    </row>
    <row r="57" spans="1:22" ht="21" x14ac:dyDescent="0.3">
      <c r="B57" s="115" t="s">
        <v>81</v>
      </c>
      <c r="C57" s="527">
        <v>25</v>
      </c>
      <c r="D57" s="527"/>
      <c r="E57" s="527"/>
      <c r="F57" s="528"/>
      <c r="G57" s="268"/>
      <c r="H57" s="269"/>
      <c r="I57" s="4"/>
      <c r="J57" s="4"/>
      <c r="K57" s="4">
        <v>1867.5</v>
      </c>
      <c r="L57" s="4"/>
      <c r="M57" s="4"/>
      <c r="N57" s="4"/>
      <c r="O57" s="4"/>
      <c r="P57" s="270" t="s">
        <v>268</v>
      </c>
      <c r="Q57" s="175"/>
      <c r="R57" s="175"/>
      <c r="S57" s="175"/>
      <c r="T57" s="175">
        <v>0</v>
      </c>
      <c r="U57" s="175"/>
      <c r="V57" s="173">
        <f>T57*-(44/12)</f>
        <v>0</v>
      </c>
    </row>
    <row r="58" spans="1:22" ht="21.6" thickBot="1" x14ac:dyDescent="0.35">
      <c r="B58" s="116" t="s">
        <v>82</v>
      </c>
      <c r="C58" s="529">
        <v>298</v>
      </c>
      <c r="D58" s="529"/>
      <c r="E58" s="529"/>
      <c r="F58" s="530"/>
      <c r="G58" s="268"/>
      <c r="H58" s="269"/>
      <c r="I58" s="4"/>
      <c r="J58" s="4"/>
      <c r="K58" s="4"/>
      <c r="L58" s="4">
        <v>2297.8125</v>
      </c>
      <c r="M58" s="4"/>
      <c r="N58" s="4"/>
      <c r="O58" s="4"/>
      <c r="P58" s="270" t="s">
        <v>269</v>
      </c>
      <c r="Q58" s="175"/>
      <c r="R58" s="175"/>
      <c r="S58" s="175"/>
      <c r="T58" s="175" t="s">
        <v>53</v>
      </c>
      <c r="U58" s="175"/>
      <c r="V58" s="173" t="s">
        <v>53</v>
      </c>
    </row>
    <row r="59" spans="1:22" ht="21" x14ac:dyDescent="0.3">
      <c r="G59" s="268"/>
      <c r="H59" s="269"/>
      <c r="I59" s="4"/>
      <c r="J59" s="4"/>
      <c r="K59" s="4"/>
      <c r="L59" s="4"/>
      <c r="M59" s="4">
        <v>11792.75</v>
      </c>
      <c r="N59" s="4"/>
      <c r="O59" s="4"/>
      <c r="P59" s="270" t="s">
        <v>270</v>
      </c>
      <c r="Q59" s="175"/>
      <c r="R59" s="175"/>
      <c r="S59" s="175"/>
      <c r="T59" s="175" t="s">
        <v>53</v>
      </c>
      <c r="U59" s="175"/>
      <c r="V59" s="173" t="s">
        <v>53</v>
      </c>
    </row>
    <row r="60" spans="1:22" ht="21" x14ac:dyDescent="0.3">
      <c r="G60" s="268"/>
      <c r="H60" s="269"/>
      <c r="I60" s="4"/>
      <c r="J60" s="4"/>
      <c r="K60" s="4"/>
      <c r="L60" s="4"/>
      <c r="M60" s="4"/>
      <c r="N60" s="4">
        <v>60.25</v>
      </c>
      <c r="O60" s="4"/>
      <c r="P60" s="270" t="s">
        <v>271</v>
      </c>
      <c r="Q60" s="175"/>
      <c r="R60" s="175"/>
      <c r="S60" s="175"/>
      <c r="T60" s="175" t="s">
        <v>53</v>
      </c>
      <c r="U60" s="175"/>
      <c r="V60" s="173" t="s">
        <v>53</v>
      </c>
    </row>
    <row r="61" spans="1:22" ht="21" x14ac:dyDescent="0.3">
      <c r="G61" s="268"/>
      <c r="H61" s="269"/>
      <c r="I61" s="4"/>
      <c r="J61" s="4"/>
      <c r="K61" s="4"/>
      <c r="L61" s="4"/>
      <c r="M61" s="4"/>
      <c r="N61" s="4"/>
      <c r="O61" s="4"/>
      <c r="P61" s="270" t="s">
        <v>272</v>
      </c>
      <c r="Q61" s="175"/>
      <c r="R61" s="175"/>
      <c r="S61" s="175"/>
      <c r="T61" s="175"/>
      <c r="U61" s="175"/>
      <c r="V61" s="173">
        <f>R61*C57+S61*C58+Q61</f>
        <v>0</v>
      </c>
    </row>
    <row r="62" spans="1:22" ht="21" x14ac:dyDescent="0.3">
      <c r="G62" s="268"/>
      <c r="H62" s="269"/>
      <c r="I62" s="4">
        <v>4477.6899999999996</v>
      </c>
      <c r="J62" s="4">
        <v>326.88</v>
      </c>
      <c r="K62" s="4">
        <v>50.19</v>
      </c>
      <c r="L62" s="4"/>
      <c r="M62" s="4"/>
      <c r="N62" s="4">
        <v>4.75</v>
      </c>
      <c r="O62" s="4"/>
      <c r="P62" s="270" t="s">
        <v>273</v>
      </c>
      <c r="Q62" s="175"/>
      <c r="R62" s="175"/>
      <c r="S62" s="175"/>
      <c r="T62" s="4">
        <v>3052.1900506785964</v>
      </c>
      <c r="U62" s="175">
        <f t="shared" si="4"/>
        <v>-2.3029818889465923</v>
      </c>
      <c r="V62" s="173">
        <f t="shared" ref="V62:V68" si="5">T62*-(44/12)</f>
        <v>-11191.363519154853</v>
      </c>
    </row>
    <row r="63" spans="1:22" ht="21" x14ac:dyDescent="0.3">
      <c r="G63" s="268"/>
      <c r="H63" s="269">
        <v>267.31</v>
      </c>
      <c r="I63" s="271"/>
      <c r="J63" s="4">
        <v>740.69</v>
      </c>
      <c r="K63" s="4">
        <v>14.13</v>
      </c>
      <c r="L63" s="4"/>
      <c r="M63" s="4"/>
      <c r="N63" s="4">
        <v>22.13</v>
      </c>
      <c r="O63" s="4"/>
      <c r="P63" s="270" t="s">
        <v>274</v>
      </c>
      <c r="Q63" s="175"/>
      <c r="R63" s="175"/>
      <c r="S63" s="175"/>
      <c r="T63" s="175">
        <v>-706.2377870501515</v>
      </c>
      <c r="U63" s="175">
        <f t="shared" si="4"/>
        <v>2.479783341808766</v>
      </c>
      <c r="V63" s="173">
        <f t="shared" si="5"/>
        <v>2589.5385525172219</v>
      </c>
    </row>
    <row r="64" spans="1:22" ht="21" x14ac:dyDescent="0.3">
      <c r="G64" s="268"/>
      <c r="H64" s="269">
        <v>92.5</v>
      </c>
      <c r="I64" s="4">
        <v>2452.19</v>
      </c>
      <c r="J64" s="271"/>
      <c r="K64" s="4">
        <v>2.56</v>
      </c>
      <c r="L64" s="4"/>
      <c r="M64" s="4"/>
      <c r="N64" s="4">
        <v>2.13</v>
      </c>
      <c r="O64" s="4"/>
      <c r="P64" s="270" t="s">
        <v>275</v>
      </c>
      <c r="Q64" s="175"/>
      <c r="R64" s="175"/>
      <c r="S64" s="175"/>
      <c r="T64" s="175">
        <v>-274.30058412958959</v>
      </c>
      <c r="U64" s="175">
        <f t="shared" si="4"/>
        <v>0.39451506188765967</v>
      </c>
      <c r="V64" s="173">
        <f t="shared" si="5"/>
        <v>1005.7688084751618</v>
      </c>
    </row>
    <row r="65" spans="7:22" ht="21" x14ac:dyDescent="0.3">
      <c r="G65" s="268"/>
      <c r="H65" s="269">
        <v>16.63</v>
      </c>
      <c r="I65" s="4">
        <v>167.25</v>
      </c>
      <c r="J65" s="4">
        <v>97.5</v>
      </c>
      <c r="K65" s="271"/>
      <c r="L65" s="4"/>
      <c r="M65" s="4"/>
      <c r="N65" s="4"/>
      <c r="O65" s="4"/>
      <c r="P65" s="270" t="s">
        <v>276</v>
      </c>
      <c r="Q65" s="175"/>
      <c r="R65" s="175"/>
      <c r="S65" s="175"/>
      <c r="T65" s="175" t="s">
        <v>53</v>
      </c>
      <c r="U65" s="175"/>
      <c r="V65" s="173" t="s">
        <v>53</v>
      </c>
    </row>
    <row r="66" spans="7:22" ht="21" x14ac:dyDescent="0.3">
      <c r="G66" s="268"/>
      <c r="H66" s="269">
        <v>3.25</v>
      </c>
      <c r="I66" s="4">
        <v>10.94</v>
      </c>
      <c r="J66" s="4">
        <v>2.19</v>
      </c>
      <c r="K66" s="271"/>
      <c r="L66" s="4"/>
      <c r="M66" s="4"/>
      <c r="N66" s="4"/>
      <c r="O66" s="4"/>
      <c r="P66" s="270" t="s">
        <v>277</v>
      </c>
      <c r="Q66" s="175"/>
      <c r="R66" s="175"/>
      <c r="S66" s="175"/>
      <c r="T66" s="175" t="s">
        <v>53</v>
      </c>
      <c r="U66" s="175"/>
      <c r="V66" s="173" t="s">
        <v>53</v>
      </c>
    </row>
    <row r="67" spans="7:22" ht="21" x14ac:dyDescent="0.3">
      <c r="G67" s="268"/>
      <c r="H67" s="269">
        <v>75.1875</v>
      </c>
      <c r="I67" s="4">
        <v>665.0625</v>
      </c>
      <c r="J67" s="4">
        <v>127.75</v>
      </c>
      <c r="K67" s="4">
        <v>0.8125</v>
      </c>
      <c r="L67" s="4"/>
      <c r="M67" s="271"/>
      <c r="N67" s="4">
        <v>20.309999999999999</v>
      </c>
      <c r="O67" s="4"/>
      <c r="P67" s="270" t="s">
        <v>278</v>
      </c>
      <c r="Q67" s="175"/>
      <c r="R67" s="175"/>
      <c r="S67" s="175"/>
      <c r="T67" s="175">
        <v>-1479.6945478044079</v>
      </c>
      <c r="U67" s="175">
        <f t="shared" si="4"/>
        <v>6.1021362919989421</v>
      </c>
      <c r="V67" s="173">
        <f t="shared" si="5"/>
        <v>5425.5466752828288</v>
      </c>
    </row>
    <row r="68" spans="7:22" ht="21" x14ac:dyDescent="0.3">
      <c r="G68" s="268"/>
      <c r="H68" s="269"/>
      <c r="I68" s="4"/>
      <c r="J68" s="4"/>
      <c r="K68" s="4"/>
      <c r="L68" s="4"/>
      <c r="M68" s="4"/>
      <c r="N68" s="4">
        <v>0</v>
      </c>
      <c r="O68" s="4"/>
      <c r="P68" s="270" t="s">
        <v>279</v>
      </c>
      <c r="Q68" s="175"/>
      <c r="R68" s="175"/>
      <c r="S68" s="175"/>
      <c r="T68" s="175"/>
      <c r="U68" s="175"/>
      <c r="V68" s="173">
        <f t="shared" si="5"/>
        <v>0</v>
      </c>
    </row>
    <row r="69" spans="7:22" ht="21" x14ac:dyDescent="0.3">
      <c r="G69" s="268"/>
      <c r="H69" s="272">
        <v>267.31</v>
      </c>
      <c r="I69" s="273"/>
      <c r="J69" s="273">
        <v>740.69</v>
      </c>
      <c r="K69" s="271"/>
      <c r="L69" s="271"/>
      <c r="M69" s="271"/>
      <c r="N69" s="271"/>
      <c r="O69" s="271"/>
      <c r="P69" s="270" t="s">
        <v>280</v>
      </c>
      <c r="Q69" s="175"/>
      <c r="R69" s="175"/>
      <c r="S69" s="175">
        <f>H69*0.74711361403221*44/28/1000</f>
        <v>0.31383147740520723</v>
      </c>
      <c r="T69" s="175"/>
      <c r="U69" s="175"/>
      <c r="V69" s="173">
        <f>R69*C57+S69*C58+Q69</f>
        <v>93.521780266751747</v>
      </c>
    </row>
    <row r="70" spans="7:22" ht="21" x14ac:dyDescent="0.3">
      <c r="G70" s="268"/>
      <c r="H70" s="274">
        <v>92.5</v>
      </c>
      <c r="I70" s="275">
        <v>2452.19</v>
      </c>
      <c r="J70" s="275"/>
      <c r="K70" s="276"/>
      <c r="L70" s="276"/>
      <c r="M70" s="276"/>
      <c r="N70" s="276"/>
      <c r="O70" s="276"/>
      <c r="P70" s="277" t="s">
        <v>281</v>
      </c>
      <c r="Q70" s="251"/>
      <c r="R70" s="251"/>
      <c r="S70" s="175">
        <f>H70*0.48160436946712*44/28/1000</f>
        <v>7.0004635133256374E-2</v>
      </c>
      <c r="T70" s="251"/>
      <c r="U70" s="251"/>
      <c r="V70" s="173">
        <f t="shared" ref="V70" si="6">R70*25+S70*298+Q70</f>
        <v>20.8613812697104</v>
      </c>
    </row>
    <row r="71" spans="7:22" ht="21.6" thickBot="1" x14ac:dyDescent="0.35">
      <c r="G71" s="268"/>
      <c r="H71" s="274">
        <v>75.19</v>
      </c>
      <c r="I71" s="275">
        <v>665.06</v>
      </c>
      <c r="J71" s="275">
        <v>127.75</v>
      </c>
      <c r="K71" s="276"/>
      <c r="L71" s="276"/>
      <c r="M71" s="276"/>
      <c r="N71" s="276"/>
      <c r="O71" s="276"/>
      <c r="P71" s="277" t="s">
        <v>282</v>
      </c>
      <c r="Q71" s="251"/>
      <c r="R71" s="251"/>
      <c r="S71" s="251">
        <f>(H71*0.6578569013052+I71*3.94762807096738+J71*7.49053525451861)*44/28/1000</f>
        <v>5.7070980435094318</v>
      </c>
      <c r="T71" s="251"/>
      <c r="U71" s="251"/>
      <c r="V71" s="186">
        <f>R71*C57+S71*C58+Q71</f>
        <v>1700.7152169658107</v>
      </c>
    </row>
    <row r="72" spans="7:22" ht="21" x14ac:dyDescent="0.3">
      <c r="G72" s="268"/>
      <c r="H72" s="278">
        <v>666.0625</v>
      </c>
      <c r="I72" s="279">
        <v>1365.625</v>
      </c>
      <c r="J72" s="279">
        <v>215.5</v>
      </c>
      <c r="K72" s="279"/>
      <c r="L72" s="279"/>
      <c r="M72" s="279"/>
      <c r="N72" s="279"/>
      <c r="O72" s="279"/>
      <c r="P72" s="280" t="s">
        <v>283</v>
      </c>
      <c r="Q72" s="181">
        <f>(I72*216.31/1000)+(J72*239.06/1000)</f>
        <v>346.91577374999997</v>
      </c>
      <c r="R72" s="181">
        <f>(H72*64.17/1000)+(I72*43.01/1000)+(J72*57.26/1000)</f>
        <v>113.816291875</v>
      </c>
      <c r="S72" s="181">
        <f>(H72*4.39/1000)</f>
        <v>2.9240143749999996</v>
      </c>
      <c r="T72" s="181"/>
      <c r="U72" s="181">
        <f t="shared" si="4"/>
        <v>1.8083401382283411</v>
      </c>
      <c r="V72" s="169">
        <f>R72*C57+S72*C58+Q72</f>
        <v>4063.679354375</v>
      </c>
    </row>
    <row r="73" spans="7:22" ht="21" x14ac:dyDescent="0.3">
      <c r="G73" s="268"/>
      <c r="H73" s="269"/>
      <c r="I73" s="4">
        <v>2403.5</v>
      </c>
      <c r="J73" s="4">
        <v>728.1875</v>
      </c>
      <c r="K73" s="4"/>
      <c r="L73" s="4"/>
      <c r="M73" s="4"/>
      <c r="N73" s="4"/>
      <c r="O73" s="4"/>
      <c r="P73" s="270" t="s">
        <v>284</v>
      </c>
      <c r="Q73" s="175">
        <f>(I73*216.31/1000)+(J73*239.06/1000)</f>
        <v>693.9815887499999</v>
      </c>
      <c r="R73" s="175">
        <f>(I73*43.01/1000)+(J73*57.26/1000)</f>
        <v>145.07055124999999</v>
      </c>
      <c r="S73" s="175"/>
      <c r="T73" s="175"/>
      <c r="U73" s="175">
        <f t="shared" si="4"/>
        <v>1.3796859903805854</v>
      </c>
      <c r="V73" s="173">
        <f>R73*C57+S73*C58+Q73</f>
        <v>4320.7453699999996</v>
      </c>
    </row>
    <row r="74" spans="7:22" ht="21" x14ac:dyDescent="0.3">
      <c r="G74" s="268"/>
      <c r="H74" s="269"/>
      <c r="I74" s="4">
        <v>39.125</v>
      </c>
      <c r="J74" s="4">
        <v>21.125</v>
      </c>
      <c r="K74" s="4"/>
      <c r="L74" s="4"/>
      <c r="M74" s="4"/>
      <c r="N74" s="4"/>
      <c r="O74" s="4"/>
      <c r="P74" s="270" t="s">
        <v>285</v>
      </c>
      <c r="Q74" s="175"/>
      <c r="R74" s="175">
        <f>(I74+J74)*19.5/1000</f>
        <v>1.1748749999999999</v>
      </c>
      <c r="S74" s="175"/>
      <c r="T74" s="175"/>
      <c r="U74" s="175"/>
      <c r="V74" s="173">
        <f>R74*C57+S74*C58+Q74</f>
        <v>29.371874999999996</v>
      </c>
    </row>
    <row r="75" spans="7:22" ht="21" x14ac:dyDescent="0.3">
      <c r="G75" s="268"/>
      <c r="H75" s="269"/>
      <c r="I75" s="4">
        <v>71.1875</v>
      </c>
      <c r="J75" s="4">
        <v>45.0625</v>
      </c>
      <c r="K75" s="4"/>
      <c r="L75" s="4"/>
      <c r="M75" s="4"/>
      <c r="N75" s="4"/>
      <c r="O75" s="4"/>
      <c r="P75" s="270" t="s">
        <v>286</v>
      </c>
      <c r="Q75" s="175"/>
      <c r="R75" s="175">
        <f>(I75+J75)*39/1000</f>
        <v>4.5337500000000004</v>
      </c>
      <c r="S75" s="175"/>
      <c r="T75" s="175"/>
      <c r="U75" s="175"/>
      <c r="V75" s="173">
        <f>R75*C57+S75*C58+Q75</f>
        <v>113.34375000000001</v>
      </c>
    </row>
    <row r="76" spans="7:22" ht="21" x14ac:dyDescent="0.3">
      <c r="G76" s="268"/>
      <c r="H76" s="269"/>
      <c r="I76" s="4"/>
      <c r="J76" s="4"/>
      <c r="K76" s="4"/>
      <c r="L76" s="4"/>
      <c r="M76" s="4"/>
      <c r="N76" s="4"/>
      <c r="O76" s="4"/>
      <c r="P76" s="270" t="s">
        <v>287</v>
      </c>
      <c r="Q76" s="175"/>
      <c r="R76" s="175">
        <f>N76*33.2/1000</f>
        <v>0</v>
      </c>
      <c r="S76" s="175">
        <f>N76*0.47/1000</f>
        <v>0</v>
      </c>
      <c r="T76" s="175"/>
      <c r="U76" s="175"/>
      <c r="V76" s="173">
        <f>R76*C57+S76*C58</f>
        <v>0</v>
      </c>
    </row>
    <row r="77" spans="7:22" ht="21" x14ac:dyDescent="0.3">
      <c r="G77" s="268"/>
      <c r="H77" s="269"/>
      <c r="I77" s="4"/>
      <c r="J77" s="4"/>
      <c r="K77" s="4">
        <v>2586</v>
      </c>
      <c r="L77" s="4"/>
      <c r="M77" s="4"/>
      <c r="N77" s="4"/>
      <c r="O77" s="4"/>
      <c r="P77" s="270" t="s">
        <v>288</v>
      </c>
      <c r="Q77" s="175"/>
      <c r="R77" s="175">
        <f>K77*287.55/1000</f>
        <v>743.60430000000008</v>
      </c>
      <c r="S77" s="175"/>
      <c r="T77" s="175"/>
      <c r="U77" s="175">
        <f t="shared" si="4"/>
        <v>7.1887500000000006</v>
      </c>
      <c r="V77" s="173">
        <f>R77*C57+S77*C58+Q77</f>
        <v>18590.107500000002</v>
      </c>
    </row>
    <row r="78" spans="7:22" ht="21" x14ac:dyDescent="0.3">
      <c r="G78" s="268"/>
      <c r="H78" s="269"/>
      <c r="I78" s="4"/>
      <c r="J78" s="4"/>
      <c r="K78" s="4"/>
      <c r="L78" s="4"/>
      <c r="M78" s="4"/>
      <c r="N78" s="4"/>
      <c r="O78" s="4"/>
      <c r="P78" s="270" t="s">
        <v>289</v>
      </c>
      <c r="Q78" s="175"/>
      <c r="R78" s="175">
        <f>J78*1.6698</f>
        <v>0</v>
      </c>
      <c r="S78" s="175">
        <f>J78*0.15246</f>
        <v>0</v>
      </c>
      <c r="T78" s="175"/>
      <c r="U78" s="175"/>
      <c r="V78" s="173">
        <f>R78*C57+S78*C58+Q78</f>
        <v>0</v>
      </c>
    </row>
    <row r="79" spans="7:22" ht="21" x14ac:dyDescent="0.3">
      <c r="G79" s="268"/>
      <c r="H79" s="269"/>
      <c r="I79" s="4"/>
      <c r="J79" s="4">
        <v>0</v>
      </c>
      <c r="K79" s="4"/>
      <c r="L79" s="4"/>
      <c r="M79" s="4"/>
      <c r="N79" s="220"/>
      <c r="O79" s="4"/>
      <c r="P79" s="270" t="s">
        <v>290</v>
      </c>
      <c r="Q79" s="175"/>
      <c r="R79" s="175">
        <f>J79*1.6698</f>
        <v>0</v>
      </c>
      <c r="S79" s="175">
        <f>J79*0.15246</f>
        <v>0</v>
      </c>
      <c r="T79" s="175"/>
      <c r="U79" s="175"/>
      <c r="V79" s="173">
        <f>R79*C57+S79*C58+Q79</f>
        <v>0</v>
      </c>
    </row>
    <row r="80" spans="7:22" ht="21" x14ac:dyDescent="0.3">
      <c r="G80" s="268"/>
      <c r="H80" s="558" t="s">
        <v>291</v>
      </c>
      <c r="I80" s="559"/>
      <c r="J80" s="559"/>
      <c r="K80" s="559"/>
      <c r="L80" s="559"/>
      <c r="M80" s="559"/>
      <c r="N80" s="559"/>
      <c r="O80" s="559"/>
      <c r="P80" s="559"/>
      <c r="Q80" s="559"/>
      <c r="R80" s="559"/>
      <c r="S80" s="559"/>
      <c r="T80" s="559"/>
      <c r="U80" s="559"/>
      <c r="V80" s="560"/>
    </row>
    <row r="81" spans="7:22" x14ac:dyDescent="0.3">
      <c r="G81" s="281"/>
      <c r="H81" s="174"/>
      <c r="I81" s="175"/>
      <c r="J81" s="175"/>
      <c r="K81" s="175"/>
      <c r="L81" s="175"/>
      <c r="M81" s="175"/>
      <c r="N81" s="175"/>
      <c r="O81" s="4">
        <v>-493762.66243775189</v>
      </c>
      <c r="P81" s="121" t="s">
        <v>292</v>
      </c>
      <c r="Q81" s="175">
        <v>9090.7348741811165</v>
      </c>
      <c r="R81" s="175"/>
      <c r="S81" s="175"/>
      <c r="T81" s="175"/>
      <c r="U81" s="175"/>
      <c r="V81" s="173">
        <f>R81*C57+S81*C58+Q81</f>
        <v>9090.7348741811165</v>
      </c>
    </row>
    <row r="82" spans="7:22" x14ac:dyDescent="0.3">
      <c r="G82" s="281"/>
      <c r="H82" s="174"/>
      <c r="I82" s="175"/>
      <c r="J82" s="175"/>
      <c r="K82" s="175"/>
      <c r="L82" s="175"/>
      <c r="M82" s="175"/>
      <c r="N82" s="175"/>
      <c r="O82" s="4">
        <v>211587.35748800635</v>
      </c>
      <c r="P82" s="121" t="s">
        <v>293</v>
      </c>
      <c r="Q82" s="175">
        <v>-4576.0130909669615</v>
      </c>
      <c r="R82" s="175"/>
      <c r="S82" s="175"/>
      <c r="T82" s="175"/>
      <c r="U82" s="175"/>
      <c r="V82" s="173">
        <f>R82*C57+S82*C58+Q82</f>
        <v>-4576.0130909669615</v>
      </c>
    </row>
    <row r="83" spans="7:22" ht="15" thickBot="1" x14ac:dyDescent="0.35">
      <c r="G83" s="281"/>
      <c r="H83" s="250"/>
      <c r="I83" s="251"/>
      <c r="J83" s="251"/>
      <c r="K83" s="251"/>
      <c r="L83" s="251"/>
      <c r="M83" s="251"/>
      <c r="N83" s="251"/>
      <c r="O83" s="282">
        <v>-152253.59746839432</v>
      </c>
      <c r="P83" s="123" t="s">
        <v>294</v>
      </c>
      <c r="Q83" s="251">
        <v>3606.8618498101146</v>
      </c>
      <c r="R83" s="251"/>
      <c r="S83" s="251"/>
      <c r="T83" s="251"/>
      <c r="U83" s="251"/>
      <c r="V83" s="186">
        <f>R83*C57+S83*C58+Q83</f>
        <v>3606.8618498101146</v>
      </c>
    </row>
    <row r="84" spans="7:22" ht="15" thickBot="1" x14ac:dyDescent="0.35">
      <c r="G84" s="73"/>
      <c r="H84" s="283"/>
      <c r="I84" s="284"/>
      <c r="J84" s="284"/>
      <c r="K84" s="284"/>
      <c r="L84" s="284"/>
      <c r="M84" s="284"/>
      <c r="N84" s="284"/>
      <c r="O84" s="284"/>
      <c r="P84" s="285" t="s">
        <v>295</v>
      </c>
      <c r="Q84" s="89">
        <f>SUM(Q54:Q79)+SUM(Q81:Q83)</f>
        <v>9162.480995524269</v>
      </c>
      <c r="R84" s="89">
        <f>SUM(R54:R79)+SUM(R81:R83)</f>
        <v>1008.199768125</v>
      </c>
      <c r="S84" s="89">
        <f>SUM(S54:S79)+SUM(S81:S83)</f>
        <v>9.0149485310478958</v>
      </c>
      <c r="T84" s="89">
        <f>SUM(T54:T79)+SUM(T81:T83)</f>
        <v>-75192.580649188079</v>
      </c>
      <c r="U84" s="89"/>
      <c r="V84" s="90">
        <f>SUM(V54:V79,V81:V83)</f>
        <v>312760.05890792451</v>
      </c>
    </row>
  </sheetData>
  <mergeCells count="12">
    <mergeCell ref="H53:V53"/>
    <mergeCell ref="H80:V80"/>
    <mergeCell ref="C55:F55"/>
    <mergeCell ref="C56:F56"/>
    <mergeCell ref="C57:F57"/>
    <mergeCell ref="C58:F58"/>
    <mergeCell ref="Q51:V51"/>
    <mergeCell ref="B22:B23"/>
    <mergeCell ref="C22:F22"/>
    <mergeCell ref="B28:B29"/>
    <mergeCell ref="C28:E28"/>
    <mergeCell ref="H51:O5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E0D05-AD01-4B1B-B403-B81A9C553450}">
  <dimension ref="A1:T67"/>
  <sheetViews>
    <sheetView workbookViewId="0">
      <selection activeCell="E17" sqref="E17:F30"/>
    </sheetView>
  </sheetViews>
  <sheetFormatPr defaultRowHeight="14.4" x14ac:dyDescent="0.3"/>
  <cols>
    <col min="2" max="2" width="51.33203125" customWidth="1"/>
    <col min="3" max="3" width="12" customWidth="1"/>
    <col min="4" max="4" width="22.44140625" customWidth="1"/>
    <col min="5" max="5" width="23.5546875" customWidth="1"/>
    <col min="6" max="6" width="12.88671875" customWidth="1"/>
    <col min="15" max="15" width="47.5546875" customWidth="1"/>
  </cols>
  <sheetData>
    <row r="1" spans="2:7" s="1" customFormat="1" ht="22.8" x14ac:dyDescent="0.4">
      <c r="B1" s="3" t="s">
        <v>16</v>
      </c>
      <c r="G1" s="112" t="s">
        <v>78</v>
      </c>
    </row>
    <row r="2" spans="2:7" ht="15" thickBot="1" x14ac:dyDescent="0.35"/>
    <row r="3" spans="2:7" ht="16.2" thickBot="1" x14ac:dyDescent="0.4">
      <c r="B3" s="67" t="s">
        <v>304</v>
      </c>
      <c r="C3" s="289">
        <v>2018</v>
      </c>
    </row>
    <row r="4" spans="2:7" x14ac:dyDescent="0.3">
      <c r="B4" s="290" t="s">
        <v>305</v>
      </c>
      <c r="C4" s="291">
        <f>SUM(T36:T44)</f>
        <v>2917.9582170387093</v>
      </c>
    </row>
    <row r="5" spans="2:7" x14ac:dyDescent="0.3">
      <c r="B5" s="292" t="s">
        <v>306</v>
      </c>
      <c r="C5" s="293">
        <f>SUM(T45:T48)</f>
        <v>19.851251848298705</v>
      </c>
    </row>
    <row r="6" spans="2:7" x14ac:dyDescent="0.3">
      <c r="B6" s="292" t="s">
        <v>307</v>
      </c>
      <c r="C6" s="294">
        <f>T49</f>
        <v>2.0085583657637813</v>
      </c>
    </row>
    <row r="7" spans="2:7" x14ac:dyDescent="0.3">
      <c r="B7" s="292" t="s">
        <v>308</v>
      </c>
      <c r="C7" s="293">
        <f>SUM(T50:T55)</f>
        <v>2668.1486359288015</v>
      </c>
    </row>
    <row r="8" spans="2:7" x14ac:dyDescent="0.3">
      <c r="B8" s="292" t="s">
        <v>309</v>
      </c>
      <c r="C8" s="293">
        <f>SUM(T56:T57)</f>
        <v>0</v>
      </c>
    </row>
    <row r="9" spans="2:7" x14ac:dyDescent="0.3">
      <c r="B9" s="292" t="s">
        <v>310</v>
      </c>
      <c r="C9" s="293">
        <f>SUM(T58:T60)</f>
        <v>9790.8851337793658</v>
      </c>
    </row>
    <row r="10" spans="2:7" ht="15" thickBot="1" x14ac:dyDescent="0.35">
      <c r="B10" s="295" t="s">
        <v>311</v>
      </c>
      <c r="C10" s="296">
        <f>SUM(T61:T66)</f>
        <v>384.48193243098058</v>
      </c>
    </row>
    <row r="11" spans="2:7" ht="15" thickBot="1" x14ac:dyDescent="0.35">
      <c r="B11" s="297" t="s">
        <v>312</v>
      </c>
      <c r="C11" s="298">
        <f>SUM(C4:C10)</f>
        <v>15783.333729391919</v>
      </c>
    </row>
    <row r="13" spans="2:7" ht="15" thickBot="1" x14ac:dyDescent="0.35"/>
    <row r="14" spans="2:7" x14ac:dyDescent="0.3">
      <c r="B14" s="561" t="s">
        <v>313</v>
      </c>
      <c r="C14" s="563">
        <v>2018</v>
      </c>
      <c r="D14" s="564"/>
      <c r="E14" s="564"/>
      <c r="F14" s="565"/>
    </row>
    <row r="15" spans="2:7" ht="16.2" thickBot="1" x14ac:dyDescent="0.4">
      <c r="B15" s="562"/>
      <c r="C15" s="299" t="s">
        <v>314</v>
      </c>
      <c r="D15" s="299" t="s">
        <v>315</v>
      </c>
      <c r="E15" s="300" t="s">
        <v>316</v>
      </c>
      <c r="F15" s="301" t="s">
        <v>317</v>
      </c>
    </row>
    <row r="16" spans="2:7" x14ac:dyDescent="0.3">
      <c r="B16" s="302" t="s">
        <v>305</v>
      </c>
      <c r="C16" s="303">
        <f>SUM(P36:P44)</f>
        <v>2917.9582170387093</v>
      </c>
      <c r="D16" s="303">
        <f>SUM(Q36:Q44)</f>
        <v>0</v>
      </c>
      <c r="E16" s="303">
        <f t="shared" ref="E16:F16" si="0">SUM(R36:R44)</f>
        <v>0</v>
      </c>
      <c r="F16" s="303">
        <f t="shared" si="0"/>
        <v>0</v>
      </c>
    </row>
    <row r="17" spans="2:20" x14ac:dyDescent="0.3">
      <c r="B17" s="304" t="s">
        <v>306</v>
      </c>
      <c r="C17" s="305">
        <f>SUM(P45:P48)</f>
        <v>19.851251848298705</v>
      </c>
      <c r="D17" s="305">
        <f t="shared" ref="D17:F17" si="1">SUM(Q45:Q48)</f>
        <v>0</v>
      </c>
      <c r="E17" s="305">
        <f t="shared" si="1"/>
        <v>0</v>
      </c>
      <c r="F17" s="305">
        <f t="shared" si="1"/>
        <v>0</v>
      </c>
    </row>
    <row r="18" spans="2:20" x14ac:dyDescent="0.3">
      <c r="B18" s="304" t="s">
        <v>307</v>
      </c>
      <c r="C18" s="305">
        <f>SUM(P49)</f>
        <v>2.0085583657637813</v>
      </c>
      <c r="D18" s="305">
        <f t="shared" ref="D18:F18" si="2">SUM(Q49)</f>
        <v>0</v>
      </c>
      <c r="E18" s="305">
        <f t="shared" si="2"/>
        <v>0</v>
      </c>
      <c r="F18" s="305">
        <f t="shared" si="2"/>
        <v>0</v>
      </c>
    </row>
    <row r="19" spans="2:20" x14ac:dyDescent="0.3">
      <c r="B19" s="304" t="s">
        <v>308</v>
      </c>
      <c r="C19" s="305">
        <f>SUM(P50:P55)</f>
        <v>2657.1726719003659</v>
      </c>
      <c r="D19" s="305">
        <f t="shared" ref="D19:F19" si="3">SUM(Q50:Q55)</f>
        <v>0.34192974537750942</v>
      </c>
      <c r="E19" s="305">
        <f t="shared" si="3"/>
        <v>8.1467127315378984E-3</v>
      </c>
      <c r="F19" s="305">
        <f t="shared" si="3"/>
        <v>0</v>
      </c>
    </row>
    <row r="20" spans="2:20" x14ac:dyDescent="0.3">
      <c r="B20" s="304" t="s">
        <v>309</v>
      </c>
      <c r="C20" s="305">
        <f>SUM(P56:P57)</f>
        <v>0</v>
      </c>
      <c r="D20" s="305">
        <f t="shared" ref="D20:F20" si="4">SUM(Q56:Q57)</f>
        <v>0</v>
      </c>
      <c r="E20" s="305">
        <f t="shared" si="4"/>
        <v>0</v>
      </c>
      <c r="F20" s="305">
        <f t="shared" si="4"/>
        <v>0</v>
      </c>
    </row>
    <row r="21" spans="2:20" x14ac:dyDescent="0.3">
      <c r="B21" s="304" t="s">
        <v>310</v>
      </c>
      <c r="C21" s="305">
        <f>SUM(P58:P60)</f>
        <v>0</v>
      </c>
      <c r="D21" s="305">
        <f t="shared" ref="D21:F21" si="5">SUM(Q58:Q60)</f>
        <v>0</v>
      </c>
      <c r="E21" s="305">
        <f t="shared" si="5"/>
        <v>0</v>
      </c>
      <c r="F21" s="305">
        <f t="shared" si="5"/>
        <v>9790.8851337793658</v>
      </c>
    </row>
    <row r="22" spans="2:20" ht="15" thickBot="1" x14ac:dyDescent="0.35">
      <c r="B22" s="306" t="s">
        <v>311</v>
      </c>
      <c r="C22" s="307">
        <f>SUM(P61:P66)</f>
        <v>4.1711062062361188</v>
      </c>
      <c r="D22" s="307">
        <f t="shared" ref="D22:F22" si="6">SUM(Q61:Q66)</f>
        <v>1.2083949096859032</v>
      </c>
      <c r="E22" s="307">
        <f t="shared" si="6"/>
        <v>1.1748354143711304</v>
      </c>
      <c r="F22" s="307">
        <f t="shared" si="6"/>
        <v>0</v>
      </c>
    </row>
    <row r="23" spans="2:20" ht="15" thickBot="1" x14ac:dyDescent="0.35">
      <c r="B23" s="308" t="s">
        <v>312</v>
      </c>
      <c r="C23" s="309">
        <f>SUM(C16:C22)</f>
        <v>5601.1618053593729</v>
      </c>
      <c r="D23" s="309">
        <f>SUM(D16:D22)</f>
        <v>1.5503246550634127</v>
      </c>
      <c r="E23" s="310">
        <f>SUM(E16:E22)</f>
        <v>1.1829821271026684</v>
      </c>
      <c r="F23" s="311">
        <f>SUM(F16:F22)</f>
        <v>9790.8851337793658</v>
      </c>
    </row>
    <row r="26" spans="2:20" x14ac:dyDescent="0.3"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</row>
    <row r="27" spans="2:20" x14ac:dyDescent="0.3">
      <c r="G27" s="108"/>
      <c r="H27" s="108"/>
      <c r="I27" s="108"/>
      <c r="J27" s="109"/>
      <c r="K27" s="73"/>
      <c r="L27" s="74"/>
      <c r="M27" s="74"/>
      <c r="N27" s="74"/>
      <c r="O27" s="2"/>
      <c r="P27" s="73"/>
      <c r="Q27" s="73"/>
      <c r="R27" s="73"/>
      <c r="S27" s="73"/>
      <c r="T27" s="73"/>
    </row>
    <row r="28" spans="2:20" x14ac:dyDescent="0.3">
      <c r="G28" s="109"/>
      <c r="H28" s="109"/>
      <c r="I28" s="109"/>
      <c r="J28" s="110"/>
      <c r="K28" s="73"/>
      <c r="L28" s="75"/>
      <c r="M28" s="75"/>
      <c r="N28" s="75"/>
      <c r="O28" s="76" t="s">
        <v>16</v>
      </c>
      <c r="P28" s="73"/>
      <c r="Q28" s="73"/>
      <c r="R28" s="73"/>
      <c r="S28" s="73"/>
      <c r="T28" s="73"/>
    </row>
    <row r="29" spans="2:20" ht="28.2" x14ac:dyDescent="0.3">
      <c r="G29" s="73"/>
      <c r="H29" s="73"/>
      <c r="I29" s="73"/>
      <c r="J29" s="73"/>
      <c r="K29" s="73"/>
      <c r="L29" s="74"/>
      <c r="M29" s="74"/>
      <c r="N29" s="74"/>
      <c r="O29" s="77" t="s">
        <v>318</v>
      </c>
      <c r="P29" s="73"/>
      <c r="Q29" s="73"/>
      <c r="R29" s="73"/>
      <c r="S29" s="73"/>
      <c r="T29" s="73"/>
    </row>
    <row r="30" spans="2:20" x14ac:dyDescent="0.3">
      <c r="G30" s="73"/>
      <c r="H30" s="73"/>
      <c r="I30" s="73"/>
      <c r="J30" s="73"/>
      <c r="K30" s="73"/>
      <c r="L30" s="74"/>
      <c r="M30" s="74"/>
      <c r="N30" s="74"/>
      <c r="O30" s="76" t="s">
        <v>319</v>
      </c>
      <c r="P30" s="73"/>
      <c r="Q30" s="73"/>
      <c r="R30" s="73"/>
      <c r="S30" s="73"/>
      <c r="T30" s="73"/>
    </row>
    <row r="31" spans="2:20" x14ac:dyDescent="0.3">
      <c r="G31" s="73"/>
      <c r="H31" s="73"/>
      <c r="I31" s="73"/>
      <c r="J31" s="73"/>
      <c r="K31" s="73"/>
      <c r="L31" s="74"/>
      <c r="M31" s="74"/>
      <c r="N31" s="74"/>
      <c r="O31" s="73"/>
      <c r="P31" s="73"/>
      <c r="Q31" s="73"/>
      <c r="R31" s="73"/>
      <c r="S31" s="73"/>
      <c r="T31" s="73"/>
    </row>
    <row r="32" spans="2:20" x14ac:dyDescent="0.3"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</row>
    <row r="33" spans="1:20" x14ac:dyDescent="0.3"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</row>
    <row r="34" spans="1:20" ht="15" thickBot="1" x14ac:dyDescent="0.35">
      <c r="G34" s="73"/>
      <c r="H34" s="532" t="s">
        <v>320</v>
      </c>
      <c r="I34" s="532"/>
      <c r="J34" s="532"/>
      <c r="K34" s="532"/>
      <c r="L34" s="532"/>
      <c r="M34" s="532"/>
      <c r="N34" s="532"/>
      <c r="O34" s="78" t="s">
        <v>89</v>
      </c>
      <c r="P34" s="532" t="s">
        <v>125</v>
      </c>
      <c r="Q34" s="532"/>
      <c r="R34" s="532"/>
      <c r="S34" s="532"/>
      <c r="T34" s="532"/>
    </row>
    <row r="35" spans="1:20" ht="96.6" thickBot="1" x14ac:dyDescent="0.35">
      <c r="G35" s="73"/>
      <c r="H35" s="80" t="s">
        <v>321</v>
      </c>
      <c r="I35" s="81" t="s">
        <v>306</v>
      </c>
      <c r="J35" s="81" t="s">
        <v>307</v>
      </c>
      <c r="K35" s="81" t="s">
        <v>308</v>
      </c>
      <c r="L35" s="81" t="s">
        <v>309</v>
      </c>
      <c r="M35" s="81" t="s">
        <v>310</v>
      </c>
      <c r="N35" s="81" t="s">
        <v>311</v>
      </c>
      <c r="O35" s="312"/>
      <c r="P35" s="164" t="s">
        <v>70</v>
      </c>
      <c r="Q35" s="81" t="s">
        <v>71</v>
      </c>
      <c r="R35" s="138" t="s">
        <v>72</v>
      </c>
      <c r="S35" s="165" t="s">
        <v>322</v>
      </c>
      <c r="T35" s="165" t="s">
        <v>73</v>
      </c>
    </row>
    <row r="36" spans="1:20" x14ac:dyDescent="0.3">
      <c r="G36" s="536"/>
      <c r="H36" s="313"/>
      <c r="I36" s="314"/>
      <c r="J36" s="314"/>
      <c r="K36" s="314"/>
      <c r="L36" s="314"/>
      <c r="M36" s="314"/>
      <c r="N36" s="315"/>
      <c r="O36" s="120" t="s">
        <v>323</v>
      </c>
      <c r="P36" s="316"/>
      <c r="Q36" s="167"/>
      <c r="R36" s="167"/>
      <c r="S36" s="317"/>
      <c r="T36" s="169">
        <f>P36+Q36*C42+R36*C43</f>
        <v>0</v>
      </c>
    </row>
    <row r="37" spans="1:20" x14ac:dyDescent="0.3">
      <c r="G37" s="536"/>
      <c r="H37" s="174"/>
      <c r="I37" s="145"/>
      <c r="J37" s="145"/>
      <c r="K37" s="145"/>
      <c r="L37" s="145"/>
      <c r="M37" s="145"/>
      <c r="N37" s="146"/>
      <c r="O37" s="121" t="s">
        <v>324</v>
      </c>
      <c r="P37" s="318"/>
      <c r="Q37" s="171"/>
      <c r="R37" s="171"/>
      <c r="S37" s="175"/>
      <c r="T37" s="173">
        <f>P37+Q37*C42+R37*C43</f>
        <v>0</v>
      </c>
    </row>
    <row r="38" spans="1:20" ht="25.8" x14ac:dyDescent="0.5">
      <c r="A38" s="113"/>
      <c r="B38" s="114" t="s">
        <v>84</v>
      </c>
      <c r="C38" s="113"/>
      <c r="D38" s="113"/>
      <c r="E38" s="113"/>
      <c r="F38" s="113"/>
      <c r="G38" s="536"/>
      <c r="H38" s="147"/>
      <c r="I38" s="145"/>
      <c r="J38" s="145"/>
      <c r="K38" s="145"/>
      <c r="L38" s="145"/>
      <c r="M38" s="145"/>
      <c r="N38" s="146"/>
      <c r="O38" s="121" t="s">
        <v>325</v>
      </c>
      <c r="P38" s="318"/>
      <c r="Q38" s="171"/>
      <c r="R38" s="171"/>
      <c r="S38" s="175"/>
      <c r="T38" s="173">
        <f>P38+Q38*C42+R38*C423</f>
        <v>0</v>
      </c>
    </row>
    <row r="39" spans="1:20" ht="15" thickBot="1" x14ac:dyDescent="0.35">
      <c r="G39" s="536"/>
      <c r="H39" s="147" t="s">
        <v>326</v>
      </c>
      <c r="I39" s="145"/>
      <c r="J39" s="145"/>
      <c r="K39" s="145"/>
      <c r="L39" s="145"/>
      <c r="M39" s="145"/>
      <c r="N39" s="146"/>
      <c r="O39" s="121" t="s">
        <v>327</v>
      </c>
      <c r="P39" s="318">
        <v>2609.7600000000002</v>
      </c>
      <c r="Q39" s="171"/>
      <c r="R39" s="171"/>
      <c r="S39" s="175"/>
      <c r="T39" s="173">
        <f>P39+Q39*C42+R39*C43</f>
        <v>2609.7600000000002</v>
      </c>
    </row>
    <row r="40" spans="1:20" ht="15" thickBot="1" x14ac:dyDescent="0.35">
      <c r="B40" s="118" t="s">
        <v>79</v>
      </c>
      <c r="C40" s="523" t="s">
        <v>83</v>
      </c>
      <c r="D40" s="523"/>
      <c r="E40" s="523"/>
      <c r="F40" s="524"/>
      <c r="G40" s="536"/>
      <c r="H40" s="147">
        <v>751.7029683870951</v>
      </c>
      <c r="I40" s="145"/>
      <c r="J40" s="145"/>
      <c r="K40" s="145"/>
      <c r="L40" s="145"/>
      <c r="M40" s="145"/>
      <c r="N40" s="146"/>
      <c r="O40" s="121" t="s">
        <v>328</v>
      </c>
      <c r="P40" s="318">
        <f>H40*0.41</f>
        <v>308.19821703870895</v>
      </c>
      <c r="Q40" s="171"/>
      <c r="R40" s="171"/>
      <c r="S40" s="175"/>
      <c r="T40" s="173">
        <f>P40+Q40*C42+R40*C43</f>
        <v>308.19821703870895</v>
      </c>
    </row>
    <row r="41" spans="1:20" x14ac:dyDescent="0.3">
      <c r="B41" s="117" t="s">
        <v>80</v>
      </c>
      <c r="C41" s="525">
        <v>1</v>
      </c>
      <c r="D41" s="525"/>
      <c r="E41" s="525"/>
      <c r="F41" s="526"/>
      <c r="G41" s="73"/>
      <c r="H41" s="174"/>
      <c r="I41" s="175"/>
      <c r="J41" s="175"/>
      <c r="K41" s="175"/>
      <c r="L41" s="175"/>
      <c r="M41" s="175"/>
      <c r="N41" s="319"/>
      <c r="O41" s="121" t="s">
        <v>329</v>
      </c>
      <c r="P41" s="247"/>
      <c r="Q41" s="175"/>
      <c r="R41" s="175"/>
      <c r="S41" s="175"/>
      <c r="T41" s="173">
        <f>P41+Q41*C42+R41*C43</f>
        <v>0</v>
      </c>
    </row>
    <row r="42" spans="1:20" x14ac:dyDescent="0.3">
      <c r="B42" s="115" t="s">
        <v>81</v>
      </c>
      <c r="C42" s="527">
        <v>25</v>
      </c>
      <c r="D42" s="527"/>
      <c r="E42" s="527"/>
      <c r="F42" s="528"/>
      <c r="G42" s="73"/>
      <c r="H42" s="250"/>
      <c r="I42" s="251"/>
      <c r="J42" s="251"/>
      <c r="K42" s="251"/>
      <c r="L42" s="251"/>
      <c r="M42" s="251"/>
      <c r="N42" s="320"/>
      <c r="O42" s="123" t="s">
        <v>330</v>
      </c>
      <c r="P42" s="321"/>
      <c r="Q42" s="251"/>
      <c r="R42" s="251"/>
      <c r="S42" s="251"/>
      <c r="T42" s="173">
        <f>P42+Q42*C42+R42*C43</f>
        <v>0</v>
      </c>
    </row>
    <row r="43" spans="1:20" ht="15" thickBot="1" x14ac:dyDescent="0.35">
      <c r="B43" s="116" t="s">
        <v>82</v>
      </c>
      <c r="C43" s="529">
        <v>298</v>
      </c>
      <c r="D43" s="529"/>
      <c r="E43" s="529"/>
      <c r="F43" s="530"/>
      <c r="G43" s="73"/>
      <c r="H43" s="174"/>
      <c r="I43" s="175"/>
      <c r="J43" s="175"/>
      <c r="K43" s="175"/>
      <c r="L43" s="175"/>
      <c r="M43" s="175"/>
      <c r="N43" s="319"/>
      <c r="O43" s="121" t="s">
        <v>331</v>
      </c>
      <c r="P43" s="247"/>
      <c r="Q43" s="175"/>
      <c r="R43" s="175"/>
      <c r="S43" s="175"/>
      <c r="T43" s="173">
        <f>P43+Q43*C42+R43*C43</f>
        <v>0</v>
      </c>
    </row>
    <row r="44" spans="1:20" ht="15" thickBot="1" x14ac:dyDescent="0.35">
      <c r="G44" s="73"/>
      <c r="H44" s="322"/>
      <c r="I44" s="323"/>
      <c r="J44" s="323"/>
      <c r="K44" s="323"/>
      <c r="L44" s="323"/>
      <c r="M44" s="323"/>
      <c r="N44" s="324"/>
      <c r="O44" s="122" t="s">
        <v>332</v>
      </c>
      <c r="P44" s="325"/>
      <c r="Q44" s="323"/>
      <c r="R44" s="323"/>
      <c r="S44" s="323"/>
      <c r="T44" s="173">
        <f>P44+Q44*C42+R44*C43</f>
        <v>0</v>
      </c>
    </row>
    <row r="45" spans="1:20" x14ac:dyDescent="0.3">
      <c r="G45" s="73"/>
      <c r="H45" s="180"/>
      <c r="I45" s="181">
        <v>992.56259241493524</v>
      </c>
      <c r="J45" s="181"/>
      <c r="K45" s="181"/>
      <c r="L45" s="181"/>
      <c r="M45" s="181"/>
      <c r="N45" s="326"/>
      <c r="O45" s="120" t="s">
        <v>333</v>
      </c>
      <c r="P45" s="327">
        <f>I45*0.02</f>
        <v>19.851251848298705</v>
      </c>
      <c r="Q45" s="181"/>
      <c r="R45" s="181"/>
      <c r="S45" s="181"/>
      <c r="T45" s="169">
        <f>P45+Q45*C42+R45*C43</f>
        <v>19.851251848298705</v>
      </c>
    </row>
    <row r="46" spans="1:20" x14ac:dyDescent="0.3">
      <c r="G46" s="73"/>
      <c r="H46" s="174"/>
      <c r="I46" s="175"/>
      <c r="J46" s="175"/>
      <c r="K46" s="175"/>
      <c r="L46" s="175"/>
      <c r="M46" s="175"/>
      <c r="N46" s="319"/>
      <c r="O46" s="121" t="s">
        <v>334</v>
      </c>
      <c r="P46" s="247"/>
      <c r="Q46" s="175"/>
      <c r="R46" s="175"/>
      <c r="S46" s="175"/>
      <c r="T46" s="173">
        <f>P46+Q46*C42+R46*C43</f>
        <v>0</v>
      </c>
    </row>
    <row r="47" spans="1:20" x14ac:dyDescent="0.3">
      <c r="G47" s="73"/>
      <c r="H47" s="174"/>
      <c r="I47" s="175"/>
      <c r="J47" s="175"/>
      <c r="K47" s="175"/>
      <c r="L47" s="175"/>
      <c r="M47" s="175"/>
      <c r="N47" s="319"/>
      <c r="O47" s="121" t="s">
        <v>335</v>
      </c>
      <c r="P47" s="247"/>
      <c r="Q47" s="175"/>
      <c r="R47" s="175"/>
      <c r="S47" s="175"/>
      <c r="T47" s="173">
        <f>P47+Q47*C42+R47*C43</f>
        <v>0</v>
      </c>
    </row>
    <row r="48" spans="1:20" ht="15" thickBot="1" x14ac:dyDescent="0.35">
      <c r="G48" s="73"/>
      <c r="H48" s="176"/>
      <c r="I48" s="177"/>
      <c r="J48" s="177"/>
      <c r="K48" s="177"/>
      <c r="L48" s="177"/>
      <c r="M48" s="177"/>
      <c r="N48" s="328"/>
      <c r="O48" s="329" t="s">
        <v>336</v>
      </c>
      <c r="P48" s="330"/>
      <c r="Q48" s="177"/>
      <c r="R48" s="177"/>
      <c r="S48" s="177"/>
      <c r="T48" s="179">
        <f>P48+Q48*C42+R48*C43</f>
        <v>0</v>
      </c>
    </row>
    <row r="49" spans="7:20" ht="15" thickBot="1" x14ac:dyDescent="0.35">
      <c r="G49" s="73"/>
      <c r="H49" s="163"/>
      <c r="I49" s="89"/>
      <c r="J49" s="89">
        <v>10.042791828818906</v>
      </c>
      <c r="K49" s="89"/>
      <c r="L49" s="89"/>
      <c r="M49" s="89"/>
      <c r="N49" s="86"/>
      <c r="O49" s="331" t="s">
        <v>337</v>
      </c>
      <c r="P49" s="88">
        <f>J49*0.2</f>
        <v>2.0085583657637813</v>
      </c>
      <c r="Q49" s="89"/>
      <c r="R49" s="89"/>
      <c r="S49" s="89"/>
      <c r="T49" s="90">
        <f>P49+Q49*C42+R49*C43</f>
        <v>2.0085583657637813</v>
      </c>
    </row>
    <row r="50" spans="7:20" x14ac:dyDescent="0.3">
      <c r="G50" s="73"/>
      <c r="H50" s="180"/>
      <c r="I50" s="181"/>
      <c r="J50" s="181"/>
      <c r="K50" s="181">
        <v>858.99346109164378</v>
      </c>
      <c r="L50" s="181"/>
      <c r="M50" s="181"/>
      <c r="N50" s="326"/>
      <c r="O50" s="120" t="s">
        <v>338</v>
      </c>
      <c r="P50" s="327">
        <f>K50*0.62</f>
        <v>532.57594587681911</v>
      </c>
      <c r="Q50" s="181"/>
      <c r="R50" s="181"/>
      <c r="S50" s="181"/>
      <c r="T50" s="169">
        <f>P50+Q50*C42+R50*C43</f>
        <v>532.57594587681911</v>
      </c>
    </row>
    <row r="51" spans="7:20" x14ac:dyDescent="0.3">
      <c r="G51" s="73"/>
      <c r="H51" s="174"/>
      <c r="I51" s="175"/>
      <c r="J51" s="175"/>
      <c r="K51" s="175">
        <v>339.44636381407906</v>
      </c>
      <c r="L51" s="175"/>
      <c r="M51" s="175"/>
      <c r="N51" s="319"/>
      <c r="O51" s="121" t="s">
        <v>339</v>
      </c>
      <c r="P51" s="247">
        <f>K51*2.89</f>
        <v>980.99999142268848</v>
      </c>
      <c r="Q51" s="175">
        <f>K51*0.00012</f>
        <v>4.0733563657689487E-2</v>
      </c>
      <c r="R51" s="175">
        <f>K51*0.000024</f>
        <v>8.1467127315378984E-3</v>
      </c>
      <c r="S51" s="175"/>
      <c r="T51" s="173">
        <f>P51+Q51*C42+R51*C43</f>
        <v>984.446050908129</v>
      </c>
    </row>
    <row r="52" spans="7:20" x14ac:dyDescent="0.3">
      <c r="G52" s="73"/>
      <c r="H52" s="250"/>
      <c r="I52" s="251"/>
      <c r="J52" s="251"/>
      <c r="K52" s="251">
        <v>12210.69582493328</v>
      </c>
      <c r="L52" s="251"/>
      <c r="M52" s="251"/>
      <c r="N52" s="320"/>
      <c r="O52" s="121" t="s">
        <v>340</v>
      </c>
      <c r="P52" s="321">
        <f>K52*0.08</f>
        <v>976.85566599466244</v>
      </c>
      <c r="Q52" s="251"/>
      <c r="R52" s="251"/>
      <c r="S52" s="251"/>
      <c r="T52" s="173">
        <f>P52+Q52*C42+R52*C43</f>
        <v>976.85566599466244</v>
      </c>
    </row>
    <row r="53" spans="7:20" x14ac:dyDescent="0.3">
      <c r="G53" s="73"/>
      <c r="H53" s="250"/>
      <c r="I53" s="251"/>
      <c r="J53" s="251"/>
      <c r="K53" s="251">
        <v>68453.67766359543</v>
      </c>
      <c r="L53" s="251"/>
      <c r="M53" s="251"/>
      <c r="N53" s="320"/>
      <c r="O53" s="121" t="s">
        <v>341</v>
      </c>
      <c r="P53" s="321">
        <f>K53*0.00023</f>
        <v>15.744345862626949</v>
      </c>
      <c r="Q53" s="251">
        <f>K53*0.0000044</f>
        <v>0.30119618171981993</v>
      </c>
      <c r="R53" s="251"/>
      <c r="S53" s="251"/>
      <c r="T53" s="173">
        <f>P53+Q53*C42+R53*C43</f>
        <v>23.274250405622446</v>
      </c>
    </row>
    <row r="54" spans="7:20" x14ac:dyDescent="0.3">
      <c r="G54" s="73"/>
      <c r="H54" s="250"/>
      <c r="I54" s="251"/>
      <c r="J54" s="251"/>
      <c r="K54" s="251">
        <v>987.54119650052576</v>
      </c>
      <c r="L54" s="251"/>
      <c r="M54" s="251"/>
      <c r="N54" s="320"/>
      <c r="O54" s="121" t="s">
        <v>342</v>
      </c>
      <c r="P54" s="321">
        <f>K54*0.0004</f>
        <v>0.39501647860021033</v>
      </c>
      <c r="Q54" s="251"/>
      <c r="R54" s="251"/>
      <c r="S54" s="251"/>
      <c r="T54" s="173">
        <f>P54+Q54*C42+R54*C43</f>
        <v>0.39501647860021033</v>
      </c>
    </row>
    <row r="55" spans="7:20" ht="15" thickBot="1" x14ac:dyDescent="0.35">
      <c r="G55" s="73"/>
      <c r="H55" s="176"/>
      <c r="I55" s="177"/>
      <c r="J55" s="177"/>
      <c r="K55" s="177">
        <v>627.50710943736794</v>
      </c>
      <c r="L55" s="177"/>
      <c r="M55" s="177"/>
      <c r="N55" s="328"/>
      <c r="O55" s="329" t="s">
        <v>343</v>
      </c>
      <c r="P55" s="330">
        <f>K55*0.24</f>
        <v>150.6017062649683</v>
      </c>
      <c r="Q55" s="177"/>
      <c r="R55" s="177"/>
      <c r="S55" s="177"/>
      <c r="T55" s="179">
        <f>P55+Q55*C42+R55*C43</f>
        <v>150.6017062649683</v>
      </c>
    </row>
    <row r="56" spans="7:20" x14ac:dyDescent="0.3">
      <c r="G56" s="73"/>
      <c r="H56" s="180"/>
      <c r="I56" s="181"/>
      <c r="J56" s="181"/>
      <c r="K56" s="181"/>
      <c r="L56" s="332"/>
      <c r="M56" s="181"/>
      <c r="N56" s="326"/>
      <c r="O56" s="120" t="s">
        <v>344</v>
      </c>
      <c r="P56" s="327"/>
      <c r="Q56" s="181"/>
      <c r="R56" s="181"/>
      <c r="S56" s="181"/>
      <c r="T56" s="169">
        <f>P56+Q56*C42+R56*C43</f>
        <v>0</v>
      </c>
    </row>
    <row r="57" spans="7:20" ht="15" thickBot="1" x14ac:dyDescent="0.35">
      <c r="G57" s="73"/>
      <c r="H57" s="176"/>
      <c r="I57" s="177"/>
      <c r="J57" s="177"/>
      <c r="K57" s="177"/>
      <c r="L57" s="333"/>
      <c r="M57" s="177"/>
      <c r="N57" s="328"/>
      <c r="O57" s="329" t="s">
        <v>345</v>
      </c>
      <c r="P57" s="330"/>
      <c r="Q57" s="177"/>
      <c r="R57" s="177"/>
      <c r="S57" s="177"/>
      <c r="T57" s="179">
        <f>P57+Q57*C42+R57*C43</f>
        <v>0</v>
      </c>
    </row>
    <row r="58" spans="7:20" x14ac:dyDescent="0.3">
      <c r="G58" s="73"/>
      <c r="H58" s="180"/>
      <c r="I58" s="181"/>
      <c r="J58" s="181"/>
      <c r="K58" s="181"/>
      <c r="L58" s="181"/>
      <c r="M58" s="181" t="s">
        <v>326</v>
      </c>
      <c r="N58" s="326"/>
      <c r="O58" s="120" t="s">
        <v>346</v>
      </c>
      <c r="P58" s="327"/>
      <c r="Q58" s="181"/>
      <c r="R58" s="181"/>
      <c r="S58" s="181">
        <v>9564.0854183118718</v>
      </c>
      <c r="T58" s="169">
        <f>P58+Q58*C42+R58*C43+S58</f>
        <v>9564.0854183118718</v>
      </c>
    </row>
    <row r="59" spans="7:20" x14ac:dyDescent="0.3">
      <c r="G59" s="73"/>
      <c r="H59" s="174"/>
      <c r="I59" s="175"/>
      <c r="J59" s="175"/>
      <c r="K59" s="175"/>
      <c r="L59" s="175"/>
      <c r="M59" s="175" t="s">
        <v>326</v>
      </c>
      <c r="N59" s="319"/>
      <c r="O59" s="121" t="s">
        <v>347</v>
      </c>
      <c r="P59" s="247"/>
      <c r="Q59" s="175"/>
      <c r="R59" s="175"/>
      <c r="S59" s="175">
        <v>13.055629377464578</v>
      </c>
      <c r="T59" s="173">
        <f>P59+Q59*C42+R59*C43+S59</f>
        <v>13.055629377464578</v>
      </c>
    </row>
    <row r="60" spans="7:20" ht="15" thickBot="1" x14ac:dyDescent="0.35">
      <c r="G60" s="73"/>
      <c r="H60" s="176"/>
      <c r="I60" s="177"/>
      <c r="J60" s="177"/>
      <c r="K60" s="177"/>
      <c r="L60" s="177"/>
      <c r="M60" s="177" t="s">
        <v>326</v>
      </c>
      <c r="N60" s="328"/>
      <c r="O60" s="329" t="s">
        <v>348</v>
      </c>
      <c r="P60" s="330"/>
      <c r="Q60" s="177"/>
      <c r="R60" s="177"/>
      <c r="S60" s="177">
        <v>213.74408609002904</v>
      </c>
      <c r="T60" s="179">
        <f>P60+Q60*C42+R60*C43+S60</f>
        <v>213.74408609002904</v>
      </c>
    </row>
    <row r="61" spans="7:20" x14ac:dyDescent="0.3">
      <c r="G61" s="73"/>
      <c r="H61" s="180"/>
      <c r="I61" s="181"/>
      <c r="J61" s="181"/>
      <c r="K61" s="181"/>
      <c r="L61" s="181"/>
      <c r="M61" s="181"/>
      <c r="N61" s="326">
        <v>0.66951945525459367</v>
      </c>
      <c r="O61" s="120" t="s">
        <v>349</v>
      </c>
      <c r="P61" s="180"/>
      <c r="Q61" s="181"/>
      <c r="R61" s="181">
        <f>N61*1</f>
        <v>0.66951945525459367</v>
      </c>
      <c r="S61" s="181"/>
      <c r="T61" s="169">
        <f>P61+Q61*C42+R61*C43</f>
        <v>199.51679766586892</v>
      </c>
    </row>
    <row r="62" spans="7:20" x14ac:dyDescent="0.3">
      <c r="G62" s="73"/>
      <c r="H62" s="174"/>
      <c r="I62" s="175"/>
      <c r="J62" s="175"/>
      <c r="K62" s="175"/>
      <c r="L62" s="175"/>
      <c r="M62" s="175"/>
      <c r="N62" s="319">
        <v>5.8582952334776941</v>
      </c>
      <c r="O62" s="121" t="s">
        <v>350</v>
      </c>
      <c r="P62" s="174"/>
      <c r="Q62" s="175"/>
      <c r="R62" s="175">
        <f>N62*0.05</f>
        <v>0.29291476167388469</v>
      </c>
      <c r="S62" s="175"/>
      <c r="T62" s="173">
        <f>P62+Q62*C42+R62*C43</f>
        <v>87.288598978817632</v>
      </c>
    </row>
    <row r="63" spans="7:20" x14ac:dyDescent="0.3">
      <c r="G63" s="73"/>
      <c r="H63" s="174"/>
      <c r="I63" s="175"/>
      <c r="J63" s="175"/>
      <c r="K63" s="175"/>
      <c r="L63" s="175"/>
      <c r="M63" s="175"/>
      <c r="N63" s="319">
        <v>104.27765515590298</v>
      </c>
      <c r="O63" s="121" t="s">
        <v>351</v>
      </c>
      <c r="P63" s="269">
        <f>N63*0.04</f>
        <v>4.1711062062361188</v>
      </c>
      <c r="Q63" s="4">
        <f>N63*0.000825</f>
        <v>8.6029065503619953E-2</v>
      </c>
      <c r="R63" s="4">
        <f>N63*0.001935</f>
        <v>0.20177726272667226</v>
      </c>
      <c r="S63" s="175"/>
      <c r="T63" s="173">
        <f>P63+Q63*C42+R63*C43</f>
        <v>66.451457136374955</v>
      </c>
    </row>
    <row r="64" spans="7:20" x14ac:dyDescent="0.3">
      <c r="G64" s="73"/>
      <c r="H64" s="174"/>
      <c r="I64" s="175"/>
      <c r="J64" s="175"/>
      <c r="K64" s="175"/>
      <c r="L64" s="175"/>
      <c r="M64" s="175"/>
      <c r="N64" s="319">
        <v>104.27765515590298</v>
      </c>
      <c r="O64" s="121" t="s">
        <v>352</v>
      </c>
      <c r="P64" s="174"/>
      <c r="Q64" s="175">
        <f>N64*0.003187</f>
        <v>0.33233288698186281</v>
      </c>
      <c r="R64" s="175">
        <f>N64*0.000064</f>
        <v>6.6737699299777905E-3</v>
      </c>
      <c r="S64" s="175"/>
      <c r="T64" s="173">
        <f>P64+Q64*C42+R64*C43</f>
        <v>10.297105613679951</v>
      </c>
    </row>
    <row r="65" spans="7:20" x14ac:dyDescent="0.3">
      <c r="G65" s="73"/>
      <c r="H65" s="174"/>
      <c r="I65" s="175"/>
      <c r="J65" s="175"/>
      <c r="K65" s="175"/>
      <c r="L65" s="175"/>
      <c r="M65" s="175"/>
      <c r="N65" s="319">
        <v>133.90389105091873</v>
      </c>
      <c r="O65" s="121" t="s">
        <v>353</v>
      </c>
      <c r="P65" s="174"/>
      <c r="Q65" s="175">
        <f>N65*0.0059</f>
        <v>0.79003295720042044</v>
      </c>
      <c r="R65" s="175">
        <f>N65*0.0000295</f>
        <v>3.9501647860021027E-3</v>
      </c>
      <c r="S65" s="175"/>
      <c r="T65" s="173">
        <f>P65+Q65*C42+R65*C43</f>
        <v>20.927973036239138</v>
      </c>
    </row>
    <row r="66" spans="7:20" ht="15" thickBot="1" x14ac:dyDescent="0.35">
      <c r="G66" s="73"/>
      <c r="H66" s="250"/>
      <c r="I66" s="251"/>
      <c r="J66" s="251"/>
      <c r="K66" s="251"/>
      <c r="L66" s="251"/>
      <c r="M66" s="251"/>
      <c r="N66" s="320"/>
      <c r="O66" s="121" t="s">
        <v>354</v>
      </c>
      <c r="P66" s="250"/>
      <c r="Q66" s="251"/>
      <c r="R66" s="251"/>
      <c r="S66" s="251"/>
      <c r="T66" s="173">
        <f>P66+Q66*C42+R66*C43</f>
        <v>0</v>
      </c>
    </row>
    <row r="67" spans="7:20" ht="15" thickBot="1" x14ac:dyDescent="0.35">
      <c r="G67" s="73"/>
      <c r="H67" s="85">
        <f t="shared" ref="H67:N67" si="7">SUM(H36:H66)</f>
        <v>751.7029683870951</v>
      </c>
      <c r="I67" s="86">
        <f t="shared" si="7"/>
        <v>992.56259241493524</v>
      </c>
      <c r="J67" s="86">
        <f t="shared" si="7"/>
        <v>10.042791828818906</v>
      </c>
      <c r="K67" s="86">
        <f t="shared" si="7"/>
        <v>83477.861619372328</v>
      </c>
      <c r="L67" s="86">
        <f t="shared" si="7"/>
        <v>0</v>
      </c>
      <c r="M67" s="86">
        <f t="shared" si="7"/>
        <v>0</v>
      </c>
      <c r="N67" s="86">
        <f t="shared" si="7"/>
        <v>348.98701605145698</v>
      </c>
      <c r="O67" s="334" t="s">
        <v>23</v>
      </c>
      <c r="P67" s="89">
        <f>SUM(P36:P66)</f>
        <v>5601.161805359372</v>
      </c>
      <c r="Q67" s="89">
        <f>SUM(Q36:Q66)</f>
        <v>1.5503246550634127</v>
      </c>
      <c r="R67" s="89">
        <f>SUM(R36:R66)</f>
        <v>1.1829821271026684</v>
      </c>
      <c r="S67" s="89">
        <f>SUM(S36:S66)</f>
        <v>9790.8851337793658</v>
      </c>
      <c r="T67" s="90">
        <f>SUM(T36:T66)</f>
        <v>15783.333729391918</v>
      </c>
    </row>
  </sheetData>
  <mergeCells count="9">
    <mergeCell ref="B14:B15"/>
    <mergeCell ref="C14:F14"/>
    <mergeCell ref="C40:F40"/>
    <mergeCell ref="C41:F41"/>
    <mergeCell ref="C42:F42"/>
    <mergeCell ref="C43:F43"/>
    <mergeCell ref="H34:N34"/>
    <mergeCell ref="P34:T34"/>
    <mergeCell ref="G36:G40"/>
  </mergeCells>
  <pageMargins left="0.7" right="0.7" top="0.75" bottom="0.75" header="0.3" footer="0.3"/>
  <ignoredErrors>
    <ignoredError sqref="F20 F22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EF0FE-D9BE-42DB-B154-5854120319B5}">
  <dimension ref="B1:AI43"/>
  <sheetViews>
    <sheetView topLeftCell="A10" workbookViewId="0">
      <selection activeCell="E21" sqref="E21"/>
    </sheetView>
  </sheetViews>
  <sheetFormatPr defaultRowHeight="14.4" x14ac:dyDescent="0.3"/>
  <cols>
    <col min="2" max="2" width="26.88671875" customWidth="1"/>
    <col min="3" max="3" width="27.6640625" bestFit="1" customWidth="1"/>
    <col min="4" max="4" width="11.6640625" bestFit="1" customWidth="1"/>
    <col min="21" max="21" width="46.109375" customWidth="1"/>
    <col min="26" max="26" width="9.109375" customWidth="1"/>
  </cols>
  <sheetData>
    <row r="1" spans="2:35" s="1" customFormat="1" ht="22.8" x14ac:dyDescent="0.4">
      <c r="B1" s="3" t="s">
        <v>401</v>
      </c>
      <c r="G1" s="112" t="s">
        <v>78</v>
      </c>
    </row>
    <row r="2" spans="2:35" ht="15" thickBot="1" x14ac:dyDescent="0.35"/>
    <row r="3" spans="2:35" ht="15" thickBot="1" x14ac:dyDescent="0.35">
      <c r="C3" s="118" t="s">
        <v>400</v>
      </c>
      <c r="D3" s="118" t="s">
        <v>399</v>
      </c>
    </row>
    <row r="4" spans="2:35" x14ac:dyDescent="0.3">
      <c r="B4" s="120" t="s">
        <v>403</v>
      </c>
      <c r="C4" s="384">
        <f t="shared" ref="C4:C12" si="0">T22</f>
        <v>1099.9968999999999</v>
      </c>
      <c r="D4" s="387">
        <f t="shared" ref="D4:D12" si="1">K22*$K$37+L22*$L$37+M22*$M$37+N22*$N$37+O22*$O$37+P22*$P$37+Q22*$Q$37+R22*$R$37</f>
        <v>77817.773699999991</v>
      </c>
    </row>
    <row r="5" spans="2:35" x14ac:dyDescent="0.3">
      <c r="B5" s="124" t="s">
        <v>384</v>
      </c>
      <c r="C5" s="384">
        <f t="shared" si="0"/>
        <v>870.40000000000009</v>
      </c>
      <c r="D5" s="387">
        <f t="shared" si="1"/>
        <v>60094.156800000004</v>
      </c>
    </row>
    <row r="6" spans="2:35" x14ac:dyDescent="0.3">
      <c r="B6" s="121" t="s">
        <v>385</v>
      </c>
      <c r="C6" s="384">
        <f t="shared" si="0"/>
        <v>435</v>
      </c>
      <c r="D6" s="387">
        <f t="shared" si="1"/>
        <v>30033.27</v>
      </c>
    </row>
    <row r="7" spans="2:35" x14ac:dyDescent="0.3">
      <c r="B7" s="121" t="s">
        <v>386</v>
      </c>
      <c r="C7" s="384">
        <f t="shared" si="0"/>
        <v>111.1</v>
      </c>
      <c r="D7" s="387">
        <f t="shared" si="1"/>
        <v>7670.5662000000002</v>
      </c>
    </row>
    <row r="8" spans="2:35" x14ac:dyDescent="0.3">
      <c r="B8" s="121" t="s">
        <v>387</v>
      </c>
      <c r="C8" s="384">
        <f t="shared" si="0"/>
        <v>387.90000000000003</v>
      </c>
      <c r="D8" s="387">
        <f t="shared" si="1"/>
        <v>26781.391800000001</v>
      </c>
    </row>
    <row r="9" spans="2:35" x14ac:dyDescent="0.3">
      <c r="B9" s="121" t="s">
        <v>388</v>
      </c>
      <c r="C9" s="384">
        <f t="shared" si="0"/>
        <v>361.5</v>
      </c>
      <c r="D9" s="387">
        <f t="shared" si="1"/>
        <v>26751</v>
      </c>
    </row>
    <row r="10" spans="2:35" x14ac:dyDescent="0.3">
      <c r="B10" s="123" t="s">
        <v>389</v>
      </c>
      <c r="C10" s="384">
        <f t="shared" si="0"/>
        <v>50.7</v>
      </c>
      <c r="D10" s="387">
        <f t="shared" si="1"/>
        <v>3751.8</v>
      </c>
    </row>
    <row r="11" spans="2:35" x14ac:dyDescent="0.3">
      <c r="B11" s="123" t="s">
        <v>390</v>
      </c>
      <c r="C11" s="384">
        <f t="shared" si="0"/>
        <v>750.3</v>
      </c>
      <c r="D11" s="387">
        <f t="shared" si="1"/>
        <v>54022.400000000001</v>
      </c>
    </row>
    <row r="12" spans="2:35" ht="15" thickBot="1" x14ac:dyDescent="0.35">
      <c r="B12" s="329" t="s">
        <v>391</v>
      </c>
      <c r="C12" s="385">
        <f t="shared" si="0"/>
        <v>107.1</v>
      </c>
      <c r="D12" s="388">
        <f t="shared" si="1"/>
        <v>7925.884</v>
      </c>
    </row>
    <row r="13" spans="2:35" ht="15" thickBot="1" x14ac:dyDescent="0.35">
      <c r="B13" s="365" t="s">
        <v>237</v>
      </c>
      <c r="C13" s="366">
        <f>SUM(C5:C12)</f>
        <v>3073.9999999999995</v>
      </c>
      <c r="D13" s="386">
        <f>SUM(D5:D12)</f>
        <v>217030.46879999997</v>
      </c>
    </row>
    <row r="14" spans="2:35" ht="15" thickBot="1" x14ac:dyDescent="0.35"/>
    <row r="15" spans="2:35" ht="23.4" thickBot="1" x14ac:dyDescent="0.35">
      <c r="B15" s="365" t="s">
        <v>392</v>
      </c>
      <c r="C15" s="394">
        <f>T32*1000/N15</f>
        <v>3.0433434400255979</v>
      </c>
      <c r="D15" s="395" t="s">
        <v>393</v>
      </c>
      <c r="E15" s="395"/>
      <c r="F15" s="396"/>
      <c r="K15" s="335" t="s">
        <v>355</v>
      </c>
      <c r="L15" s="336"/>
      <c r="M15" s="336"/>
      <c r="N15" s="390">
        <v>96883</v>
      </c>
      <c r="O15" s="391"/>
      <c r="S15" s="74"/>
      <c r="T15" s="338"/>
      <c r="U15" s="392" t="s">
        <v>356</v>
      </c>
      <c r="V15" s="338"/>
      <c r="W15" s="338"/>
      <c r="X15" s="338"/>
      <c r="Y15" s="338"/>
      <c r="Z15" s="74"/>
      <c r="AA15" s="74"/>
      <c r="AB15" s="74"/>
      <c r="AC15" s="74"/>
      <c r="AD15" s="74"/>
      <c r="AE15" s="74"/>
      <c r="AF15" s="74"/>
      <c r="AG15" s="74"/>
      <c r="AH15" s="74"/>
      <c r="AI15" s="74"/>
    </row>
    <row r="16" spans="2:35" ht="22.8" x14ac:dyDescent="0.3">
      <c r="K16" s="339"/>
      <c r="L16" s="74"/>
      <c r="M16" s="74"/>
      <c r="N16" s="340"/>
      <c r="O16" s="341"/>
      <c r="S16" s="74"/>
      <c r="T16" s="338"/>
      <c r="U16" s="392"/>
      <c r="V16" s="338"/>
      <c r="W16" s="338"/>
      <c r="X16" s="338"/>
      <c r="Y16" s="338"/>
      <c r="Z16" s="74"/>
      <c r="AA16" s="74"/>
      <c r="AB16" s="74"/>
      <c r="AC16" s="74"/>
      <c r="AD16" s="74"/>
      <c r="AE16" s="74"/>
      <c r="AF16" s="74"/>
      <c r="AG16" s="74"/>
      <c r="AH16" s="74"/>
      <c r="AI16" s="74"/>
    </row>
    <row r="17" spans="11:35" ht="25.2" thickBot="1" x14ac:dyDescent="0.35">
      <c r="K17" s="342" t="s">
        <v>357</v>
      </c>
      <c r="L17" s="343"/>
      <c r="M17" s="343"/>
      <c r="N17" s="343" t="s">
        <v>358</v>
      </c>
      <c r="O17" s="344"/>
      <c r="S17" s="74"/>
      <c r="T17" s="338"/>
      <c r="U17" s="393" t="s">
        <v>359</v>
      </c>
      <c r="V17" s="338"/>
      <c r="W17" s="338"/>
      <c r="X17" s="338"/>
      <c r="Y17" s="338"/>
      <c r="Z17" s="74"/>
      <c r="AA17" s="74"/>
      <c r="AB17" s="74"/>
      <c r="AC17" s="74"/>
      <c r="AD17" s="74"/>
      <c r="AE17" s="74"/>
      <c r="AF17" s="74"/>
      <c r="AG17" s="74"/>
      <c r="AH17" s="74"/>
      <c r="AI17" s="74"/>
    </row>
    <row r="18" spans="11:35" ht="24.6" x14ac:dyDescent="0.3">
      <c r="K18" s="74"/>
      <c r="L18" s="74"/>
      <c r="M18" s="74"/>
      <c r="N18" s="74"/>
      <c r="O18" s="74"/>
      <c r="P18" s="74"/>
      <c r="Q18" s="74"/>
      <c r="R18" s="74"/>
      <c r="S18" s="74"/>
      <c r="T18" s="338"/>
      <c r="U18" s="393"/>
      <c r="V18" s="338"/>
      <c r="W18" s="338"/>
      <c r="X18" s="338"/>
      <c r="Y18" s="338"/>
      <c r="Z18" s="74"/>
      <c r="AA18" s="74"/>
      <c r="AB18" s="74"/>
      <c r="AC18" s="74"/>
      <c r="AD18" s="74"/>
      <c r="AE18" s="74"/>
      <c r="AF18" s="74"/>
      <c r="AG18" s="74"/>
      <c r="AH18" s="74"/>
      <c r="AI18" s="74"/>
    </row>
    <row r="19" spans="11:35" x14ac:dyDescent="0.3"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337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</row>
    <row r="20" spans="11:35" ht="15.6" x14ac:dyDescent="0.3">
      <c r="K20" s="566" t="s">
        <v>397</v>
      </c>
      <c r="L20" s="566"/>
      <c r="M20" s="566"/>
      <c r="N20" s="566"/>
      <c r="O20" s="566"/>
      <c r="P20" s="566"/>
      <c r="Q20" s="566"/>
      <c r="R20" s="566"/>
      <c r="S20" s="566"/>
      <c r="T20" s="566"/>
      <c r="U20" s="345" t="s">
        <v>398</v>
      </c>
      <c r="V20" s="566" t="s">
        <v>395</v>
      </c>
      <c r="W20" s="566"/>
      <c r="X20" s="566"/>
      <c r="Y20" s="566"/>
      <c r="Z20" s="346"/>
      <c r="AA20" s="566" t="s">
        <v>396</v>
      </c>
      <c r="AB20" s="566"/>
      <c r="AC20" s="566"/>
      <c r="AD20" s="566"/>
      <c r="AE20" s="566"/>
      <c r="AF20" s="566"/>
      <c r="AG20" s="566"/>
      <c r="AH20" s="566"/>
      <c r="AI20" s="566"/>
    </row>
    <row r="21" spans="11:35" ht="138" customHeight="1" x14ac:dyDescent="0.75">
      <c r="K21" s="397" t="s">
        <v>360</v>
      </c>
      <c r="L21" s="397" t="s">
        <v>361</v>
      </c>
      <c r="M21" s="397" t="s">
        <v>362</v>
      </c>
      <c r="N21" s="397" t="s">
        <v>363</v>
      </c>
      <c r="O21" s="397" t="s">
        <v>364</v>
      </c>
      <c r="P21" s="397" t="s">
        <v>365</v>
      </c>
      <c r="Q21" s="397" t="s">
        <v>366</v>
      </c>
      <c r="R21" s="397" t="s">
        <v>367</v>
      </c>
      <c r="S21" s="397" t="s">
        <v>368</v>
      </c>
      <c r="T21" s="398" t="s">
        <v>369</v>
      </c>
      <c r="U21" s="399"/>
      <c r="V21" s="400" t="s">
        <v>370</v>
      </c>
      <c r="W21" s="408" t="s">
        <v>371</v>
      </c>
      <c r="X21" s="397" t="s">
        <v>372</v>
      </c>
      <c r="Y21" s="398" t="s">
        <v>373</v>
      </c>
      <c r="Z21" s="401" t="s">
        <v>374</v>
      </c>
      <c r="AA21" s="402" t="s">
        <v>375</v>
      </c>
      <c r="AB21" s="397" t="s">
        <v>376</v>
      </c>
      <c r="AC21" s="397" t="s">
        <v>377</v>
      </c>
      <c r="AD21" s="397" t="s">
        <v>378</v>
      </c>
      <c r="AE21" s="397" t="s">
        <v>379</v>
      </c>
      <c r="AF21" s="397" t="s">
        <v>380</v>
      </c>
      <c r="AG21" s="403" t="s">
        <v>381</v>
      </c>
      <c r="AH21" s="403" t="s">
        <v>382</v>
      </c>
      <c r="AI21" s="398" t="s">
        <v>383</v>
      </c>
    </row>
    <row r="22" spans="11:35" ht="16.5" customHeight="1" x14ac:dyDescent="0.3">
      <c r="K22" s="408"/>
      <c r="L22" s="408"/>
      <c r="M22" s="408"/>
      <c r="N22" s="408"/>
      <c r="O22" s="408"/>
      <c r="P22" s="408"/>
      <c r="Q22" s="349">
        <f>1100.1*(100%-3.1%)</f>
        <v>1065.9968999999999</v>
      </c>
      <c r="R22" s="408"/>
      <c r="S22" s="349">
        <v>34</v>
      </c>
      <c r="T22" s="352">
        <f t="shared" ref="T22:T30" si="2">SUM(K22:S22)</f>
        <v>1099.9968999999999</v>
      </c>
      <c r="U22" s="121" t="s">
        <v>403</v>
      </c>
      <c r="V22" s="409"/>
      <c r="W22" s="375">
        <v>20</v>
      </c>
      <c r="X22" s="408"/>
      <c r="Y22" s="408"/>
      <c r="Z22" s="353">
        <f t="shared" ref="Z22:Z30" si="3">SUM(AA22:AI22)</f>
        <v>219.99937999999997</v>
      </c>
      <c r="AA22" s="408"/>
      <c r="AB22" s="408"/>
      <c r="AC22" s="408"/>
      <c r="AD22" s="408"/>
      <c r="AE22" s="408"/>
      <c r="AF22" s="408"/>
      <c r="AG22" s="408"/>
      <c r="AH22" s="408"/>
      <c r="AI22" s="352">
        <f>T22*W22/100</f>
        <v>219.99937999999997</v>
      </c>
    </row>
    <row r="23" spans="11:35" x14ac:dyDescent="0.3">
      <c r="K23" s="375"/>
      <c r="L23" s="375"/>
      <c r="M23" s="375"/>
      <c r="N23" s="375"/>
      <c r="O23" s="404">
        <f>870.4*(100%-6.7%)</f>
        <v>812.08320000000003</v>
      </c>
      <c r="P23" s="405"/>
      <c r="Q23" s="405"/>
      <c r="R23" s="405"/>
      <c r="S23" s="404">
        <f>870.4*6.7%</f>
        <v>58.316800000000001</v>
      </c>
      <c r="T23" s="351">
        <f t="shared" si="2"/>
        <v>870.40000000000009</v>
      </c>
      <c r="U23" s="124" t="s">
        <v>384</v>
      </c>
      <c r="V23" s="374"/>
      <c r="W23" s="375">
        <v>25</v>
      </c>
      <c r="X23" s="375"/>
      <c r="Y23" s="351"/>
      <c r="Z23" s="406">
        <f t="shared" si="3"/>
        <v>217.60000000000002</v>
      </c>
      <c r="AA23" s="407"/>
      <c r="AB23" s="375"/>
      <c r="AC23" s="375"/>
      <c r="AD23" s="375"/>
      <c r="AE23" s="375"/>
      <c r="AF23" s="375"/>
      <c r="AG23" s="375"/>
      <c r="AH23" s="375"/>
      <c r="AI23" s="351">
        <f>T23*W23/100</f>
        <v>217.60000000000002</v>
      </c>
    </row>
    <row r="24" spans="11:35" x14ac:dyDescent="0.3">
      <c r="K24" s="348"/>
      <c r="L24" s="348"/>
      <c r="M24" s="348"/>
      <c r="N24" s="348"/>
      <c r="O24" s="349">
        <f>435*(100%-6.7%)</f>
        <v>405.85500000000002</v>
      </c>
      <c r="P24" s="350"/>
      <c r="Q24" s="350"/>
      <c r="R24" s="350"/>
      <c r="S24" s="349">
        <f>435*6.7%</f>
        <v>29.145000000000003</v>
      </c>
      <c r="T24" s="351">
        <f t="shared" si="2"/>
        <v>435</v>
      </c>
      <c r="U24" s="121" t="s">
        <v>385</v>
      </c>
      <c r="V24" s="347"/>
      <c r="W24" s="348">
        <v>25</v>
      </c>
      <c r="X24" s="348"/>
      <c r="Y24" s="352"/>
      <c r="Z24" s="353">
        <f t="shared" si="3"/>
        <v>108.75</v>
      </c>
      <c r="AA24" s="354"/>
      <c r="AB24" s="348"/>
      <c r="AC24" s="348"/>
      <c r="AD24" s="348"/>
      <c r="AE24" s="348"/>
      <c r="AF24" s="348"/>
      <c r="AG24" s="348"/>
      <c r="AH24" s="348"/>
      <c r="AI24" s="352">
        <f>T24*W24/100</f>
        <v>108.75</v>
      </c>
    </row>
    <row r="25" spans="11:35" x14ac:dyDescent="0.3">
      <c r="K25" s="348"/>
      <c r="L25" s="348"/>
      <c r="M25" s="348"/>
      <c r="N25" s="348"/>
      <c r="O25" s="349">
        <f>111.1*(100%-6.7%)</f>
        <v>103.6563</v>
      </c>
      <c r="P25" s="350"/>
      <c r="Q25" s="350"/>
      <c r="R25" s="350"/>
      <c r="S25" s="349">
        <f>111.1*6.7%</f>
        <v>7.4436999999999998</v>
      </c>
      <c r="T25" s="351">
        <f t="shared" si="2"/>
        <v>111.1</v>
      </c>
      <c r="U25" s="121" t="s">
        <v>386</v>
      </c>
      <c r="V25" s="347"/>
      <c r="W25" s="348">
        <v>33</v>
      </c>
      <c r="X25" s="348"/>
      <c r="Y25" s="352"/>
      <c r="Z25" s="353">
        <f t="shared" si="3"/>
        <v>36.662999999999997</v>
      </c>
      <c r="AA25" s="354"/>
      <c r="AB25" s="348"/>
      <c r="AC25" s="348"/>
      <c r="AD25" s="348"/>
      <c r="AE25" s="348"/>
      <c r="AF25" s="348"/>
      <c r="AG25" s="348"/>
      <c r="AH25" s="348"/>
      <c r="AI25" s="352">
        <f>T25*W25/100</f>
        <v>36.662999999999997</v>
      </c>
    </row>
    <row r="26" spans="11:35" x14ac:dyDescent="0.3">
      <c r="K26" s="348"/>
      <c r="L26" s="348"/>
      <c r="M26" s="348"/>
      <c r="N26" s="348"/>
      <c r="O26" s="349">
        <f>387.9*(100%-6.7%)</f>
        <v>361.91070000000002</v>
      </c>
      <c r="P26" s="350"/>
      <c r="Q26" s="350"/>
      <c r="R26" s="350"/>
      <c r="S26" s="349">
        <f>387.9*6.7%</f>
        <v>25.9893</v>
      </c>
      <c r="T26" s="352">
        <f t="shared" si="2"/>
        <v>387.90000000000003</v>
      </c>
      <c r="U26" s="121" t="s">
        <v>387</v>
      </c>
      <c r="V26" s="347"/>
      <c r="W26" s="348">
        <v>33</v>
      </c>
      <c r="X26" s="348"/>
      <c r="Y26" s="352"/>
      <c r="Z26" s="353">
        <f t="shared" si="3"/>
        <v>128.00700000000001</v>
      </c>
      <c r="AA26" s="354"/>
      <c r="AB26" s="348"/>
      <c r="AC26" s="348"/>
      <c r="AD26" s="348"/>
      <c r="AE26" s="348"/>
      <c r="AF26" s="348"/>
      <c r="AG26" s="348"/>
      <c r="AH26" s="348"/>
      <c r="AI26" s="352">
        <f>T26*W26/100</f>
        <v>128.00700000000001</v>
      </c>
    </row>
    <row r="27" spans="11:35" x14ac:dyDescent="0.3">
      <c r="K27" s="348"/>
      <c r="L27" s="348"/>
      <c r="M27" s="348"/>
      <c r="N27" s="348"/>
      <c r="O27" s="349">
        <v>361.5</v>
      </c>
      <c r="P27" s="350"/>
      <c r="Q27" s="350"/>
      <c r="R27" s="350"/>
      <c r="S27" s="350"/>
      <c r="T27" s="352">
        <f t="shared" si="2"/>
        <v>361.5</v>
      </c>
      <c r="U27" s="121" t="s">
        <v>388</v>
      </c>
      <c r="V27" s="347"/>
      <c r="W27" s="348">
        <v>33</v>
      </c>
      <c r="X27" s="348"/>
      <c r="Y27" s="352"/>
      <c r="Z27" s="353">
        <f t="shared" si="3"/>
        <v>119.295</v>
      </c>
      <c r="AA27" s="354"/>
      <c r="AB27" s="348"/>
      <c r="AC27" s="348"/>
      <c r="AD27" s="348"/>
      <c r="AE27" s="348"/>
      <c r="AF27" s="348"/>
      <c r="AG27" s="348"/>
      <c r="AH27" s="348">
        <f>T27*W27%</f>
        <v>119.295</v>
      </c>
      <c r="AI27" s="352"/>
    </row>
    <row r="28" spans="11:35" x14ac:dyDescent="0.3">
      <c r="K28" s="356"/>
      <c r="L28" s="356"/>
      <c r="M28" s="357"/>
      <c r="N28" s="357"/>
      <c r="O28" s="358">
        <v>50.7</v>
      </c>
      <c r="P28" s="357"/>
      <c r="Q28" s="357"/>
      <c r="R28" s="357"/>
      <c r="S28" s="356"/>
      <c r="T28" s="352">
        <f t="shared" si="2"/>
        <v>50.7</v>
      </c>
      <c r="U28" s="123" t="s">
        <v>389</v>
      </c>
      <c r="V28" s="355"/>
      <c r="W28" s="348">
        <v>33</v>
      </c>
      <c r="X28" s="356"/>
      <c r="Y28" s="359"/>
      <c r="Z28" s="353">
        <f t="shared" si="3"/>
        <v>16.731000000000002</v>
      </c>
      <c r="AA28" s="360"/>
      <c r="AB28" s="356"/>
      <c r="AC28" s="356"/>
      <c r="AD28" s="356"/>
      <c r="AE28" s="356"/>
      <c r="AF28" s="356"/>
      <c r="AG28" s="356"/>
      <c r="AH28" s="356"/>
      <c r="AI28" s="352">
        <f>T28*W28/100</f>
        <v>16.731000000000002</v>
      </c>
    </row>
    <row r="29" spans="11:35" x14ac:dyDescent="0.3">
      <c r="K29" s="356"/>
      <c r="L29" s="356"/>
      <c r="M29" s="357"/>
      <c r="N29" s="357"/>
      <c r="O29" s="357"/>
      <c r="P29" s="358">
        <v>749.5</v>
      </c>
      <c r="Q29" s="349">
        <v>0.8</v>
      </c>
      <c r="R29" s="357"/>
      <c r="S29" s="356"/>
      <c r="T29" s="352">
        <f t="shared" si="2"/>
        <v>750.3</v>
      </c>
      <c r="U29" s="123" t="s">
        <v>390</v>
      </c>
      <c r="V29" s="355"/>
      <c r="W29" s="348">
        <v>33</v>
      </c>
      <c r="X29" s="356"/>
      <c r="Y29" s="359"/>
      <c r="Z29" s="353">
        <f t="shared" si="3"/>
        <v>247.59899999999999</v>
      </c>
      <c r="AA29" s="360"/>
      <c r="AB29" s="356"/>
      <c r="AC29" s="356"/>
      <c r="AD29" s="356"/>
      <c r="AE29" s="356"/>
      <c r="AF29" s="356"/>
      <c r="AG29" s="356"/>
      <c r="AH29" s="356"/>
      <c r="AI29" s="352">
        <f>T29*W29/100</f>
        <v>247.59899999999999</v>
      </c>
    </row>
    <row r="30" spans="11:35" ht="15" thickBot="1" x14ac:dyDescent="0.35">
      <c r="K30" s="356"/>
      <c r="L30" s="356"/>
      <c r="M30" s="372">
        <v>0.1</v>
      </c>
      <c r="N30" s="357"/>
      <c r="O30" s="372">
        <v>107</v>
      </c>
      <c r="P30" s="357"/>
      <c r="Q30" s="357"/>
      <c r="R30" s="357"/>
      <c r="S30" s="356"/>
      <c r="T30" s="359">
        <f t="shared" si="2"/>
        <v>107.1</v>
      </c>
      <c r="U30" s="329" t="s">
        <v>391</v>
      </c>
      <c r="V30" s="361"/>
      <c r="W30" s="362">
        <v>33</v>
      </c>
      <c r="X30" s="362"/>
      <c r="Y30" s="363"/>
      <c r="Z30" s="364">
        <f t="shared" si="3"/>
        <v>35.342999999999996</v>
      </c>
      <c r="AA30" s="360"/>
      <c r="AB30" s="356"/>
      <c r="AC30" s="356"/>
      <c r="AD30" s="356"/>
      <c r="AE30" s="356"/>
      <c r="AF30" s="356"/>
      <c r="AG30" s="356"/>
      <c r="AH30" s="356"/>
      <c r="AI30" s="359">
        <f>T30*W30/100</f>
        <v>35.342999999999996</v>
      </c>
    </row>
    <row r="31" spans="11:35" ht="15" thickBot="1" x14ac:dyDescent="0.35">
      <c r="K31" s="373">
        <f t="shared" ref="K31:P31" si="4">SUM(K22:K30)</f>
        <v>0</v>
      </c>
      <c r="L31" s="373">
        <f t="shared" si="4"/>
        <v>0</v>
      </c>
      <c r="M31" s="373">
        <f t="shared" si="4"/>
        <v>0.1</v>
      </c>
      <c r="N31" s="373">
        <f t="shared" si="4"/>
        <v>0</v>
      </c>
      <c r="O31" s="373">
        <f t="shared" si="4"/>
        <v>2202.7051999999999</v>
      </c>
      <c r="P31" s="373">
        <f t="shared" si="4"/>
        <v>749.5</v>
      </c>
      <c r="Q31" s="373">
        <f>SUM(Q22:Q30)</f>
        <v>1066.7968999999998</v>
      </c>
      <c r="R31" s="373">
        <f t="shared" ref="R31" si="5">SUM(R22:R30)</f>
        <v>0</v>
      </c>
      <c r="S31" s="373">
        <f>SUM(S22:S30)</f>
        <v>154.89480000000003</v>
      </c>
      <c r="T31" s="373">
        <f>SUM(T22:T30)</f>
        <v>4173.9969000000001</v>
      </c>
      <c r="U31" s="371" t="s">
        <v>237</v>
      </c>
      <c r="V31" s="389"/>
      <c r="W31" s="24"/>
      <c r="X31" s="24"/>
      <c r="Y31" s="25"/>
      <c r="Z31" s="367">
        <f>SUM(Z23:Z30)</f>
        <v>909.98799999999994</v>
      </c>
      <c r="AA31" s="368">
        <f t="shared" ref="AA31:AI31" si="6">SUM(AA23:AA30)</f>
        <v>0</v>
      </c>
      <c r="AB31" s="369">
        <f t="shared" si="6"/>
        <v>0</v>
      </c>
      <c r="AC31" s="369">
        <f t="shared" si="6"/>
        <v>0</v>
      </c>
      <c r="AD31" s="369">
        <f t="shared" si="6"/>
        <v>0</v>
      </c>
      <c r="AE31" s="369">
        <f t="shared" si="6"/>
        <v>0</v>
      </c>
      <c r="AF31" s="369">
        <f t="shared" si="6"/>
        <v>0</v>
      </c>
      <c r="AG31" s="369">
        <f t="shared" si="6"/>
        <v>0</v>
      </c>
      <c r="AH31" s="369">
        <f t="shared" si="6"/>
        <v>119.295</v>
      </c>
      <c r="AI31" s="370">
        <f t="shared" si="6"/>
        <v>790.69299999999998</v>
      </c>
    </row>
    <row r="32" spans="11:35" ht="15" thickBot="1" x14ac:dyDescent="0.35">
      <c r="K32" s="381">
        <f t="shared" ref="K32:S32" si="7">K31*K37/1000</f>
        <v>0</v>
      </c>
      <c r="L32" s="382">
        <f t="shared" si="7"/>
        <v>0</v>
      </c>
      <c r="M32" s="382">
        <f t="shared" si="7"/>
        <v>7.8840000000000004E-3</v>
      </c>
      <c r="N32" s="382">
        <f t="shared" si="7"/>
        <v>0</v>
      </c>
      <c r="O32" s="382">
        <f t="shared" si="7"/>
        <v>163.0001848</v>
      </c>
      <c r="P32" s="382">
        <f t="shared" si="7"/>
        <v>53.963999999999999</v>
      </c>
      <c r="Q32" s="382">
        <f t="shared" si="7"/>
        <v>77.876173699999981</v>
      </c>
      <c r="R32" s="382">
        <f t="shared" si="7"/>
        <v>0</v>
      </c>
      <c r="S32" s="382">
        <f t="shared" si="7"/>
        <v>0</v>
      </c>
      <c r="T32" s="383">
        <f>SUM(K32:S32)</f>
        <v>294.84824249999997</v>
      </c>
      <c r="U32" s="365" t="s">
        <v>392</v>
      </c>
    </row>
    <row r="33" spans="11:25" ht="15" thickBot="1" x14ac:dyDescent="0.35"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</row>
    <row r="34" spans="11:25" x14ac:dyDescent="0.3">
      <c r="K34" s="567" t="str">
        <f t="shared" ref="K34:S34" si="8">K21</f>
        <v xml:space="preserve">  LPG og petroleum</v>
      </c>
      <c r="L34" s="567" t="str">
        <f t="shared" si="8"/>
        <v xml:space="preserve">  Kul</v>
      </c>
      <c r="M34" s="567" t="str">
        <f t="shared" si="8"/>
        <v xml:space="preserve">  Fuelolie</v>
      </c>
      <c r="N34" s="567" t="str">
        <f t="shared" si="8"/>
        <v xml:space="preserve">  Brændselsolie</v>
      </c>
      <c r="O34" s="567" t="str">
        <f t="shared" si="8"/>
        <v xml:space="preserve">  Dieselolie</v>
      </c>
      <c r="P34" s="567" t="str">
        <f t="shared" si="8"/>
        <v xml:space="preserve">  JP1</v>
      </c>
      <c r="Q34" s="567" t="str">
        <f t="shared" si="8"/>
        <v xml:space="preserve">  Benzin</v>
      </c>
      <c r="R34" s="567" t="str">
        <f t="shared" si="8"/>
        <v xml:space="preserve">  Naturgas</v>
      </c>
      <c r="S34" s="567" t="str">
        <f t="shared" si="8"/>
        <v xml:space="preserve">  Biobrændstof og energiafgrøder</v>
      </c>
      <c r="T34" s="74"/>
      <c r="U34" s="74"/>
      <c r="V34" s="74"/>
      <c r="W34" s="74"/>
      <c r="X34" s="74"/>
      <c r="Y34" s="74"/>
    </row>
    <row r="35" spans="11:25" x14ac:dyDescent="0.3">
      <c r="K35" s="568"/>
      <c r="L35" s="568"/>
      <c r="M35" s="568"/>
      <c r="N35" s="568"/>
      <c r="O35" s="568"/>
      <c r="P35" s="568"/>
      <c r="Q35" s="568"/>
      <c r="R35" s="568"/>
      <c r="S35" s="568"/>
      <c r="T35" s="74"/>
      <c r="U35" s="74"/>
      <c r="V35" s="74"/>
      <c r="W35" s="74"/>
      <c r="X35" s="74"/>
      <c r="Y35" s="74"/>
    </row>
    <row r="36" spans="11:25" ht="15" thickBot="1" x14ac:dyDescent="0.35">
      <c r="K36" s="569"/>
      <c r="L36" s="569"/>
      <c r="M36" s="569"/>
      <c r="N36" s="569"/>
      <c r="O36" s="569"/>
      <c r="P36" s="569"/>
      <c r="Q36" s="569"/>
      <c r="R36" s="569"/>
      <c r="S36" s="569"/>
      <c r="T36" s="74"/>
      <c r="U36" s="74"/>
      <c r="V36" s="74"/>
      <c r="W36" s="74"/>
      <c r="X36" s="74"/>
      <c r="Y36" s="74"/>
    </row>
    <row r="37" spans="11:25" ht="15" thickBot="1" x14ac:dyDescent="0.35">
      <c r="K37" s="376">
        <v>63.1</v>
      </c>
      <c r="L37" s="376">
        <v>94.95</v>
      </c>
      <c r="M37" s="376">
        <v>78.84</v>
      </c>
      <c r="N37" s="376">
        <v>74</v>
      </c>
      <c r="O37" s="376">
        <v>74</v>
      </c>
      <c r="P37" s="376">
        <v>72</v>
      </c>
      <c r="Q37" s="376">
        <v>73</v>
      </c>
      <c r="R37" s="376">
        <v>57</v>
      </c>
      <c r="S37" s="377"/>
      <c r="T37" s="378" t="s">
        <v>394</v>
      </c>
      <c r="U37" s="379"/>
      <c r="V37" s="380"/>
      <c r="W37" s="380"/>
      <c r="X37" s="380"/>
      <c r="Y37" s="380"/>
    </row>
    <row r="43" spans="11:25" ht="17.25" customHeight="1" x14ac:dyDescent="0.3"/>
  </sheetData>
  <mergeCells count="12">
    <mergeCell ref="K20:T20"/>
    <mergeCell ref="V20:Y20"/>
    <mergeCell ref="AA20:AI20"/>
    <mergeCell ref="S34:S36"/>
    <mergeCell ref="R34:R36"/>
    <mergeCell ref="K34:K36"/>
    <mergeCell ref="L34:L36"/>
    <mergeCell ref="M34:M36"/>
    <mergeCell ref="N34:N36"/>
    <mergeCell ref="O34:O36"/>
    <mergeCell ref="P34:P36"/>
    <mergeCell ref="Q34:Q3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7F1C4-04C0-4AA6-96E5-29D77C291B2D}">
  <dimension ref="B1:AI43"/>
  <sheetViews>
    <sheetView workbookViewId="0">
      <selection activeCell="D20" sqref="D20"/>
    </sheetView>
  </sheetViews>
  <sheetFormatPr defaultRowHeight="14.4" x14ac:dyDescent="0.3"/>
  <cols>
    <col min="2" max="2" width="26.88671875" customWidth="1"/>
    <col min="3" max="3" width="27.6640625" bestFit="1" customWidth="1"/>
    <col min="4" max="4" width="11.6640625" bestFit="1" customWidth="1"/>
    <col min="21" max="21" width="46.109375" customWidth="1"/>
    <col min="26" max="26" width="9.109375" customWidth="1"/>
  </cols>
  <sheetData>
    <row r="1" spans="2:35" s="1" customFormat="1" ht="22.8" x14ac:dyDescent="0.4">
      <c r="B1" s="3" t="s">
        <v>401</v>
      </c>
      <c r="G1" s="112" t="s">
        <v>404</v>
      </c>
    </row>
    <row r="2" spans="2:35" ht="15" thickBot="1" x14ac:dyDescent="0.35"/>
    <row r="3" spans="2:35" ht="15" thickBot="1" x14ac:dyDescent="0.35">
      <c r="C3" s="118" t="s">
        <v>400</v>
      </c>
      <c r="D3" s="118" t="s">
        <v>399</v>
      </c>
    </row>
    <row r="4" spans="2:35" x14ac:dyDescent="0.3">
      <c r="B4" s="120" t="s">
        <v>403</v>
      </c>
      <c r="C4" s="384">
        <f t="shared" ref="C4:C12" si="0">T22</f>
        <v>1328.54</v>
      </c>
      <c r="D4" s="387">
        <f t="shared" ref="D4:D12" si="1">K22*$K$37+L22*$L$37+M22*$M$37+N22*$N$37+O22*$O$37+P22*$P$37+Q22*$Q$37+R22*$R$37</f>
        <v>96983.42</v>
      </c>
    </row>
    <row r="5" spans="2:35" x14ac:dyDescent="0.3">
      <c r="B5" s="124" t="s">
        <v>384</v>
      </c>
      <c r="C5" s="384">
        <f t="shared" si="0"/>
        <v>124.45</v>
      </c>
      <c r="D5" s="387">
        <f t="shared" si="1"/>
        <v>9209.3000000000011</v>
      </c>
    </row>
    <row r="6" spans="2:35" x14ac:dyDescent="0.3">
      <c r="B6" s="121" t="s">
        <v>385</v>
      </c>
      <c r="C6" s="384">
        <f t="shared" si="0"/>
        <v>363.42</v>
      </c>
      <c r="D6" s="387">
        <f t="shared" si="1"/>
        <v>26893.08</v>
      </c>
    </row>
    <row r="7" spans="2:35" x14ac:dyDescent="0.3">
      <c r="B7" s="121" t="s">
        <v>386</v>
      </c>
      <c r="C7" s="384">
        <f t="shared" si="0"/>
        <v>69.930000000000007</v>
      </c>
      <c r="D7" s="387">
        <f t="shared" si="1"/>
        <v>5174.8200000000006</v>
      </c>
    </row>
    <row r="8" spans="2:35" x14ac:dyDescent="0.3">
      <c r="B8" s="121" t="s">
        <v>387</v>
      </c>
      <c r="C8" s="384">
        <f t="shared" si="0"/>
        <v>363.75</v>
      </c>
      <c r="D8" s="387">
        <f t="shared" si="1"/>
        <v>26917.5</v>
      </c>
    </row>
    <row r="9" spans="2:35" x14ac:dyDescent="0.3">
      <c r="B9" s="121" t="s">
        <v>388</v>
      </c>
      <c r="C9" s="384">
        <f t="shared" si="0"/>
        <v>351.73</v>
      </c>
      <c r="D9" s="387">
        <f t="shared" si="1"/>
        <v>26028.02</v>
      </c>
    </row>
    <row r="10" spans="2:35" x14ac:dyDescent="0.3">
      <c r="B10" s="123" t="s">
        <v>389</v>
      </c>
      <c r="C10" s="384">
        <f t="shared" si="0"/>
        <v>65.39</v>
      </c>
      <c r="D10" s="387">
        <f t="shared" si="1"/>
        <v>4838.8599999999997</v>
      </c>
    </row>
    <row r="11" spans="2:35" x14ac:dyDescent="0.3">
      <c r="B11" s="123" t="s">
        <v>390</v>
      </c>
      <c r="C11" s="384">
        <f t="shared" si="0"/>
        <v>472.59</v>
      </c>
      <c r="D11" s="387">
        <f t="shared" si="1"/>
        <v>34029</v>
      </c>
    </row>
    <row r="12" spans="2:35" ht="15" thickBot="1" x14ac:dyDescent="0.35">
      <c r="B12" s="329" t="s">
        <v>391</v>
      </c>
      <c r="C12" s="385">
        <f t="shared" si="0"/>
        <v>103.41999999999999</v>
      </c>
      <c r="D12" s="388">
        <f t="shared" si="1"/>
        <v>7934.0419999999995</v>
      </c>
    </row>
    <row r="13" spans="2:35" ht="15" thickBot="1" x14ac:dyDescent="0.35">
      <c r="B13" s="365" t="s">
        <v>237</v>
      </c>
      <c r="C13" s="366">
        <f>SUM(C5:C12)</f>
        <v>1914.68</v>
      </c>
      <c r="D13" s="386">
        <f>SUM(D5:D12)</f>
        <v>141024.622</v>
      </c>
    </row>
    <row r="14" spans="2:35" ht="15" thickBot="1" x14ac:dyDescent="0.35"/>
    <row r="15" spans="2:35" ht="23.4" thickBot="1" x14ac:dyDescent="0.35">
      <c r="B15" s="365" t="s">
        <v>392</v>
      </c>
      <c r="C15" s="394">
        <f>T32*1000/N15</f>
        <v>2.8422943227686353</v>
      </c>
      <c r="D15" s="395" t="s">
        <v>393</v>
      </c>
      <c r="E15" s="395"/>
      <c r="F15" s="396"/>
      <c r="K15" s="335" t="s">
        <v>355</v>
      </c>
      <c r="L15" s="336"/>
      <c r="M15" s="336"/>
      <c r="N15" s="570">
        <v>83738</v>
      </c>
      <c r="O15" s="571"/>
      <c r="S15" s="74"/>
      <c r="T15" s="338"/>
      <c r="U15" s="392" t="s">
        <v>356</v>
      </c>
      <c r="V15" s="338"/>
      <c r="W15" s="338"/>
      <c r="X15" s="338"/>
      <c r="Y15" s="338"/>
      <c r="Z15" s="74"/>
      <c r="AA15" s="74"/>
      <c r="AB15" s="74"/>
      <c r="AC15" s="74"/>
      <c r="AD15" s="74"/>
      <c r="AE15" s="74"/>
      <c r="AF15" s="74"/>
      <c r="AG15" s="74"/>
      <c r="AH15" s="74"/>
      <c r="AI15" s="74"/>
    </row>
    <row r="16" spans="2:35" ht="22.8" x14ac:dyDescent="0.3">
      <c r="K16" s="339"/>
      <c r="L16" s="74"/>
      <c r="M16" s="74"/>
      <c r="N16" s="340"/>
      <c r="O16" s="341"/>
      <c r="S16" s="74"/>
      <c r="T16" s="338"/>
      <c r="U16" s="392"/>
      <c r="V16" s="338"/>
      <c r="W16" s="338"/>
      <c r="X16" s="338"/>
      <c r="Y16" s="338"/>
      <c r="Z16" s="74"/>
      <c r="AA16" s="74"/>
      <c r="AB16" s="74"/>
      <c r="AC16" s="74"/>
      <c r="AD16" s="74"/>
      <c r="AE16" s="74"/>
      <c r="AF16" s="74"/>
      <c r="AG16" s="74"/>
      <c r="AH16" s="74"/>
      <c r="AI16" s="74"/>
    </row>
    <row r="17" spans="11:35" ht="25.2" thickBot="1" x14ac:dyDescent="0.35">
      <c r="K17" s="342" t="s">
        <v>357</v>
      </c>
      <c r="L17" s="343"/>
      <c r="M17" s="343"/>
      <c r="N17" s="343" t="s">
        <v>358</v>
      </c>
      <c r="O17" s="344"/>
      <c r="S17" s="74"/>
      <c r="T17" s="338"/>
      <c r="U17" s="393" t="s">
        <v>402</v>
      </c>
      <c r="V17" s="338"/>
      <c r="W17" s="338"/>
      <c r="X17" s="338"/>
      <c r="Y17" s="338"/>
      <c r="Z17" s="74"/>
      <c r="AA17" s="74"/>
      <c r="AB17" s="74"/>
      <c r="AC17" s="74"/>
      <c r="AD17" s="74"/>
      <c r="AE17" s="74"/>
      <c r="AF17" s="74"/>
      <c r="AG17" s="74"/>
      <c r="AH17" s="74"/>
      <c r="AI17" s="74"/>
    </row>
    <row r="18" spans="11:35" ht="24.6" x14ac:dyDescent="0.3">
      <c r="K18" s="74"/>
      <c r="L18" s="74"/>
      <c r="M18" s="74"/>
      <c r="N18" s="74"/>
      <c r="O18" s="74"/>
      <c r="P18" s="74"/>
      <c r="Q18" s="74"/>
      <c r="R18" s="74"/>
      <c r="S18" s="74"/>
      <c r="T18" s="338"/>
      <c r="U18" s="393"/>
      <c r="V18" s="338"/>
      <c r="W18" s="338"/>
      <c r="X18" s="338"/>
      <c r="Y18" s="338"/>
      <c r="Z18" s="74"/>
      <c r="AA18" s="74"/>
      <c r="AB18" s="74"/>
      <c r="AC18" s="74"/>
      <c r="AD18" s="74"/>
      <c r="AE18" s="74"/>
      <c r="AF18" s="74"/>
      <c r="AG18" s="74"/>
      <c r="AH18" s="74"/>
      <c r="AI18" s="74"/>
    </row>
    <row r="19" spans="11:35" x14ac:dyDescent="0.3"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337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</row>
    <row r="20" spans="11:35" ht="15.6" x14ac:dyDescent="0.3">
      <c r="K20" s="566" t="s">
        <v>397</v>
      </c>
      <c r="L20" s="566"/>
      <c r="M20" s="566"/>
      <c r="N20" s="566"/>
      <c r="O20" s="566"/>
      <c r="P20" s="566"/>
      <c r="Q20" s="566"/>
      <c r="R20" s="566"/>
      <c r="S20" s="566"/>
      <c r="T20" s="566"/>
      <c r="U20" s="345" t="s">
        <v>398</v>
      </c>
      <c r="V20" s="566" t="s">
        <v>395</v>
      </c>
      <c r="W20" s="566"/>
      <c r="X20" s="566"/>
      <c r="Y20" s="566"/>
      <c r="Z20" s="346"/>
      <c r="AA20" s="566" t="s">
        <v>396</v>
      </c>
      <c r="AB20" s="566"/>
      <c r="AC20" s="566"/>
      <c r="AD20" s="566"/>
      <c r="AE20" s="566"/>
      <c r="AF20" s="566"/>
      <c r="AG20" s="566"/>
      <c r="AH20" s="566"/>
      <c r="AI20" s="566"/>
    </row>
    <row r="21" spans="11:35" ht="138" customHeight="1" x14ac:dyDescent="0.75">
      <c r="K21" s="397" t="s">
        <v>360</v>
      </c>
      <c r="L21" s="397" t="s">
        <v>361</v>
      </c>
      <c r="M21" s="397" t="s">
        <v>362</v>
      </c>
      <c r="N21" s="397" t="s">
        <v>363</v>
      </c>
      <c r="O21" s="397" t="s">
        <v>364</v>
      </c>
      <c r="P21" s="397" t="s">
        <v>365</v>
      </c>
      <c r="Q21" s="397" t="s">
        <v>366</v>
      </c>
      <c r="R21" s="397" t="s">
        <v>367</v>
      </c>
      <c r="S21" s="397" t="s">
        <v>368</v>
      </c>
      <c r="T21" s="398" t="s">
        <v>369</v>
      </c>
      <c r="U21" s="399"/>
      <c r="V21" s="400" t="s">
        <v>370</v>
      </c>
      <c r="W21" s="408" t="s">
        <v>371</v>
      </c>
      <c r="X21" s="397" t="s">
        <v>372</v>
      </c>
      <c r="Y21" s="398" t="s">
        <v>373</v>
      </c>
      <c r="Z21" s="401" t="s">
        <v>374</v>
      </c>
      <c r="AA21" s="402" t="s">
        <v>375</v>
      </c>
      <c r="AB21" s="397" t="s">
        <v>376</v>
      </c>
      <c r="AC21" s="397" t="s">
        <v>377</v>
      </c>
      <c r="AD21" s="397" t="s">
        <v>378</v>
      </c>
      <c r="AE21" s="397" t="s">
        <v>379</v>
      </c>
      <c r="AF21" s="397" t="s">
        <v>380</v>
      </c>
      <c r="AG21" s="403" t="s">
        <v>381</v>
      </c>
      <c r="AH21" s="403" t="s">
        <v>382</v>
      </c>
      <c r="AI21" s="398" t="s">
        <v>383</v>
      </c>
    </row>
    <row r="22" spans="11:35" ht="16.5" customHeight="1" x14ac:dyDescent="0.3">
      <c r="K22" s="408"/>
      <c r="L22" s="408"/>
      <c r="M22" s="410"/>
      <c r="N22" s="410"/>
      <c r="O22" s="305"/>
      <c r="P22" s="305"/>
      <c r="Q22" s="305">
        <v>1328.54</v>
      </c>
      <c r="R22" s="408"/>
      <c r="S22" s="349"/>
      <c r="T22" s="352">
        <f t="shared" ref="T22:T30" si="2">SUM(K22:S22)</f>
        <v>1328.54</v>
      </c>
      <c r="U22" s="121" t="s">
        <v>403</v>
      </c>
      <c r="V22" s="409"/>
      <c r="W22" s="375">
        <v>20</v>
      </c>
      <c r="X22" s="408"/>
      <c r="Y22" s="408"/>
      <c r="Z22" s="353">
        <f t="shared" ref="Z22:Z30" si="3">SUM(AA22:AI22)</f>
        <v>265.70799999999997</v>
      </c>
      <c r="AA22" s="408"/>
      <c r="AB22" s="408"/>
      <c r="AC22" s="408"/>
      <c r="AD22" s="408"/>
      <c r="AE22" s="408"/>
      <c r="AF22" s="408"/>
      <c r="AG22" s="408"/>
      <c r="AH22" s="408"/>
      <c r="AI22" s="352">
        <f>T22*W22/100</f>
        <v>265.70799999999997</v>
      </c>
    </row>
    <row r="23" spans="11:35" x14ac:dyDescent="0.3">
      <c r="K23" s="375"/>
      <c r="L23" s="375"/>
      <c r="M23" s="410"/>
      <c r="N23" s="410"/>
      <c r="O23" s="305">
        <v>124.45</v>
      </c>
      <c r="P23" s="305"/>
      <c r="Q23" s="305"/>
      <c r="R23" s="405"/>
      <c r="S23" s="404"/>
      <c r="T23" s="351">
        <f t="shared" si="2"/>
        <v>124.45</v>
      </c>
      <c r="U23" s="124" t="s">
        <v>384</v>
      </c>
      <c r="V23" s="374"/>
      <c r="W23" s="375">
        <v>25</v>
      </c>
      <c r="X23" s="375"/>
      <c r="Y23" s="351"/>
      <c r="Z23" s="406">
        <f t="shared" si="3"/>
        <v>31.112500000000001</v>
      </c>
      <c r="AA23" s="407"/>
      <c r="AB23" s="375"/>
      <c r="AC23" s="375"/>
      <c r="AD23" s="375"/>
      <c r="AE23" s="375"/>
      <c r="AF23" s="375"/>
      <c r="AG23" s="375"/>
      <c r="AH23" s="375"/>
      <c r="AI23" s="351">
        <f>T23*W23/100</f>
        <v>31.112500000000001</v>
      </c>
    </row>
    <row r="24" spans="11:35" x14ac:dyDescent="0.3">
      <c r="K24" s="348"/>
      <c r="L24" s="348"/>
      <c r="M24" s="410"/>
      <c r="N24" s="410"/>
      <c r="O24" s="305">
        <v>363.42</v>
      </c>
      <c r="P24" s="305"/>
      <c r="Q24" s="305"/>
      <c r="R24" s="350"/>
      <c r="S24" s="349"/>
      <c r="T24" s="351">
        <f t="shared" si="2"/>
        <v>363.42</v>
      </c>
      <c r="U24" s="121" t="s">
        <v>385</v>
      </c>
      <c r="V24" s="347"/>
      <c r="W24" s="348">
        <v>25</v>
      </c>
      <c r="X24" s="348"/>
      <c r="Y24" s="352"/>
      <c r="Z24" s="353">
        <f t="shared" si="3"/>
        <v>90.855000000000004</v>
      </c>
      <c r="AA24" s="354"/>
      <c r="AB24" s="348"/>
      <c r="AC24" s="348"/>
      <c r="AD24" s="348"/>
      <c r="AE24" s="348"/>
      <c r="AF24" s="348"/>
      <c r="AG24" s="348"/>
      <c r="AH24" s="348"/>
      <c r="AI24" s="352">
        <f>T24*W24/100</f>
        <v>90.855000000000004</v>
      </c>
    </row>
    <row r="25" spans="11:35" x14ac:dyDescent="0.3">
      <c r="K25" s="348"/>
      <c r="L25" s="348"/>
      <c r="M25" s="410"/>
      <c r="N25" s="410"/>
      <c r="O25" s="305">
        <v>69.930000000000007</v>
      </c>
      <c r="P25" s="305"/>
      <c r="Q25" s="305"/>
      <c r="R25" s="350"/>
      <c r="S25" s="349"/>
      <c r="T25" s="351">
        <f t="shared" si="2"/>
        <v>69.930000000000007</v>
      </c>
      <c r="U25" s="121" t="s">
        <v>386</v>
      </c>
      <c r="V25" s="347"/>
      <c r="W25" s="348">
        <v>33</v>
      </c>
      <c r="X25" s="348"/>
      <c r="Y25" s="352"/>
      <c r="Z25" s="353">
        <f t="shared" si="3"/>
        <v>23.076900000000002</v>
      </c>
      <c r="AA25" s="354"/>
      <c r="AB25" s="348"/>
      <c r="AC25" s="348"/>
      <c r="AD25" s="348"/>
      <c r="AE25" s="348"/>
      <c r="AF25" s="348"/>
      <c r="AG25" s="348"/>
      <c r="AH25" s="348"/>
      <c r="AI25" s="352">
        <f>T25*W25/100</f>
        <v>23.076900000000002</v>
      </c>
    </row>
    <row r="26" spans="11:35" x14ac:dyDescent="0.3">
      <c r="K26" s="348"/>
      <c r="L26" s="348"/>
      <c r="M26" s="410"/>
      <c r="N26" s="410"/>
      <c r="O26" s="305">
        <v>363.75</v>
      </c>
      <c r="P26" s="305"/>
      <c r="Q26" s="305"/>
      <c r="R26" s="350"/>
      <c r="S26" s="349"/>
      <c r="T26" s="352">
        <f t="shared" si="2"/>
        <v>363.75</v>
      </c>
      <c r="U26" s="121" t="s">
        <v>387</v>
      </c>
      <c r="V26" s="347"/>
      <c r="W26" s="348">
        <v>33</v>
      </c>
      <c r="X26" s="348"/>
      <c r="Y26" s="352"/>
      <c r="Z26" s="353">
        <f t="shared" si="3"/>
        <v>120.03749999999999</v>
      </c>
      <c r="AA26" s="354"/>
      <c r="AB26" s="348"/>
      <c r="AC26" s="348"/>
      <c r="AD26" s="348"/>
      <c r="AE26" s="348"/>
      <c r="AF26" s="348"/>
      <c r="AG26" s="348"/>
      <c r="AH26" s="348"/>
      <c r="AI26" s="352">
        <f>T26*W26/100</f>
        <v>120.03749999999999</v>
      </c>
    </row>
    <row r="27" spans="11:35" x14ac:dyDescent="0.3">
      <c r="K27" s="348"/>
      <c r="L27" s="348"/>
      <c r="M27" s="410"/>
      <c r="N27" s="410"/>
      <c r="O27" s="350">
        <v>351.73</v>
      </c>
      <c r="P27" s="305"/>
      <c r="Q27" s="305"/>
      <c r="R27" s="350"/>
      <c r="S27" s="350"/>
      <c r="T27" s="352">
        <f t="shared" si="2"/>
        <v>351.73</v>
      </c>
      <c r="U27" s="121" t="s">
        <v>388</v>
      </c>
      <c r="V27" s="347"/>
      <c r="W27" s="348">
        <v>33</v>
      </c>
      <c r="X27" s="348"/>
      <c r="Y27" s="352"/>
      <c r="Z27" s="353">
        <f t="shared" si="3"/>
        <v>116.07090000000001</v>
      </c>
      <c r="AA27" s="354"/>
      <c r="AB27" s="348"/>
      <c r="AC27" s="348"/>
      <c r="AD27" s="348"/>
      <c r="AE27" s="348"/>
      <c r="AF27" s="348"/>
      <c r="AG27" s="348"/>
      <c r="AH27" s="348">
        <f>T27*W27%</f>
        <v>116.07090000000001</v>
      </c>
      <c r="AI27" s="352"/>
    </row>
    <row r="28" spans="11:35" x14ac:dyDescent="0.3">
      <c r="K28" s="356"/>
      <c r="L28" s="356"/>
      <c r="M28" s="357"/>
      <c r="N28" s="357"/>
      <c r="O28" s="411">
        <v>65.39</v>
      </c>
      <c r="P28" s="357"/>
      <c r="Q28" s="357"/>
      <c r="R28" s="357"/>
      <c r="S28" s="356"/>
      <c r="T28" s="352">
        <f t="shared" si="2"/>
        <v>65.39</v>
      </c>
      <c r="U28" s="123" t="s">
        <v>389</v>
      </c>
      <c r="V28" s="355"/>
      <c r="W28" s="348">
        <v>33</v>
      </c>
      <c r="X28" s="356"/>
      <c r="Y28" s="359"/>
      <c r="Z28" s="353">
        <f t="shared" si="3"/>
        <v>21.578699999999998</v>
      </c>
      <c r="AA28" s="360"/>
      <c r="AB28" s="356"/>
      <c r="AC28" s="356"/>
      <c r="AD28" s="356"/>
      <c r="AE28" s="356"/>
      <c r="AF28" s="356"/>
      <c r="AG28" s="356"/>
      <c r="AH28" s="356"/>
      <c r="AI28" s="352">
        <f>T28*W28/100</f>
        <v>21.578699999999998</v>
      </c>
    </row>
    <row r="29" spans="11:35" x14ac:dyDescent="0.3">
      <c r="K29" s="356"/>
      <c r="L29" s="356"/>
      <c r="M29" s="357"/>
      <c r="N29" s="357"/>
      <c r="O29" s="357"/>
      <c r="P29" s="412">
        <v>470.07</v>
      </c>
      <c r="Q29" s="410">
        <v>2.52</v>
      </c>
      <c r="R29" s="357"/>
      <c r="S29" s="356"/>
      <c r="T29" s="352">
        <f t="shared" si="2"/>
        <v>472.59</v>
      </c>
      <c r="U29" s="123" t="s">
        <v>390</v>
      </c>
      <c r="V29" s="355"/>
      <c r="W29" s="348">
        <v>33</v>
      </c>
      <c r="X29" s="356"/>
      <c r="Y29" s="359"/>
      <c r="Z29" s="353">
        <f t="shared" si="3"/>
        <v>155.9547</v>
      </c>
      <c r="AA29" s="360"/>
      <c r="AB29" s="356"/>
      <c r="AC29" s="356"/>
      <c r="AD29" s="356"/>
      <c r="AE29" s="356"/>
      <c r="AF29" s="356"/>
      <c r="AG29" s="356"/>
      <c r="AH29" s="356"/>
      <c r="AI29" s="352">
        <f>T29*W29/100</f>
        <v>155.9547</v>
      </c>
    </row>
    <row r="30" spans="11:35" ht="15" thickBot="1" x14ac:dyDescent="0.35">
      <c r="K30" s="356"/>
      <c r="L30" s="356"/>
      <c r="M30" s="411">
        <v>58.05</v>
      </c>
      <c r="N30" s="357"/>
      <c r="O30" s="411">
        <v>45.37</v>
      </c>
      <c r="P30" s="357"/>
      <c r="Q30" s="357"/>
      <c r="R30" s="357"/>
      <c r="S30" s="356"/>
      <c r="T30" s="359">
        <f t="shared" si="2"/>
        <v>103.41999999999999</v>
      </c>
      <c r="U30" s="329" t="s">
        <v>391</v>
      </c>
      <c r="V30" s="361"/>
      <c r="W30" s="362">
        <v>33</v>
      </c>
      <c r="X30" s="362"/>
      <c r="Y30" s="363"/>
      <c r="Z30" s="364">
        <f t="shared" si="3"/>
        <v>34.128599999999999</v>
      </c>
      <c r="AA30" s="360"/>
      <c r="AB30" s="356"/>
      <c r="AC30" s="356"/>
      <c r="AD30" s="356"/>
      <c r="AE30" s="356"/>
      <c r="AF30" s="356"/>
      <c r="AG30" s="356"/>
      <c r="AH30" s="356"/>
      <c r="AI30" s="359">
        <f>T30*W30/100</f>
        <v>34.128599999999999</v>
      </c>
    </row>
    <row r="31" spans="11:35" ht="15" thickBot="1" x14ac:dyDescent="0.35">
      <c r="K31" s="373">
        <f t="shared" ref="K31:P31" si="4">SUM(K22:K30)</f>
        <v>0</v>
      </c>
      <c r="L31" s="373">
        <f t="shared" si="4"/>
        <v>0</v>
      </c>
      <c r="M31" s="373">
        <f t="shared" si="4"/>
        <v>58.05</v>
      </c>
      <c r="N31" s="373">
        <f t="shared" si="4"/>
        <v>0</v>
      </c>
      <c r="O31" s="373">
        <f t="shared" si="4"/>
        <v>1384.04</v>
      </c>
      <c r="P31" s="373">
        <f t="shared" si="4"/>
        <v>470.07</v>
      </c>
      <c r="Q31" s="373">
        <f>SUM(Q22:Q30)</f>
        <v>1331.06</v>
      </c>
      <c r="R31" s="373">
        <f t="shared" ref="R31" si="5">SUM(R22:R30)</f>
        <v>0</v>
      </c>
      <c r="S31" s="373">
        <f>SUM(S22:S30)</f>
        <v>0</v>
      </c>
      <c r="T31" s="373">
        <f>SUM(T22:T30)</f>
        <v>3243.2200000000003</v>
      </c>
      <c r="U31" s="371" t="s">
        <v>237</v>
      </c>
      <c r="V31" s="389"/>
      <c r="W31" s="24"/>
      <c r="X31" s="24"/>
      <c r="Y31" s="25"/>
      <c r="Z31" s="367">
        <f>SUM(Z23:Z30)</f>
        <v>592.81479999999999</v>
      </c>
      <c r="AA31" s="368">
        <f t="shared" ref="AA31:AI31" si="6">SUM(AA23:AA30)</f>
        <v>0</v>
      </c>
      <c r="AB31" s="369">
        <f t="shared" si="6"/>
        <v>0</v>
      </c>
      <c r="AC31" s="369">
        <f t="shared" si="6"/>
        <v>0</v>
      </c>
      <c r="AD31" s="369">
        <f t="shared" si="6"/>
        <v>0</v>
      </c>
      <c r="AE31" s="369">
        <f t="shared" si="6"/>
        <v>0</v>
      </c>
      <c r="AF31" s="369">
        <f t="shared" si="6"/>
        <v>0</v>
      </c>
      <c r="AG31" s="369">
        <f t="shared" si="6"/>
        <v>0</v>
      </c>
      <c r="AH31" s="369">
        <f t="shared" si="6"/>
        <v>116.07090000000001</v>
      </c>
      <c r="AI31" s="370">
        <f t="shared" si="6"/>
        <v>476.74390000000005</v>
      </c>
    </row>
    <row r="32" spans="11:35" ht="15" thickBot="1" x14ac:dyDescent="0.35">
      <c r="K32" s="381">
        <f t="shared" ref="K32:S32" si="7">K31*K37/1000</f>
        <v>0</v>
      </c>
      <c r="L32" s="382">
        <f t="shared" si="7"/>
        <v>0</v>
      </c>
      <c r="M32" s="382">
        <f t="shared" si="7"/>
        <v>4.5766620000000007</v>
      </c>
      <c r="N32" s="382">
        <f t="shared" si="7"/>
        <v>0</v>
      </c>
      <c r="O32" s="382">
        <f t="shared" si="7"/>
        <v>102.41896</v>
      </c>
      <c r="P32" s="382">
        <f t="shared" si="7"/>
        <v>33.845039999999997</v>
      </c>
      <c r="Q32" s="382">
        <f t="shared" si="7"/>
        <v>97.167379999999994</v>
      </c>
      <c r="R32" s="382">
        <f t="shared" si="7"/>
        <v>0</v>
      </c>
      <c r="S32" s="382">
        <f t="shared" si="7"/>
        <v>0</v>
      </c>
      <c r="T32" s="383">
        <f>SUM(K32:S32)</f>
        <v>238.00804199999999</v>
      </c>
      <c r="U32" s="365" t="s">
        <v>392</v>
      </c>
    </row>
    <row r="33" spans="11:25" ht="15" thickBot="1" x14ac:dyDescent="0.35"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</row>
    <row r="34" spans="11:25" x14ac:dyDescent="0.3">
      <c r="K34" s="567" t="str">
        <f t="shared" ref="K34:S34" si="8">K21</f>
        <v xml:space="preserve">  LPG og petroleum</v>
      </c>
      <c r="L34" s="567" t="str">
        <f t="shared" si="8"/>
        <v xml:space="preserve">  Kul</v>
      </c>
      <c r="M34" s="567" t="str">
        <f t="shared" si="8"/>
        <v xml:space="preserve">  Fuelolie</v>
      </c>
      <c r="N34" s="567" t="str">
        <f t="shared" si="8"/>
        <v xml:space="preserve">  Brændselsolie</v>
      </c>
      <c r="O34" s="567" t="str">
        <f t="shared" si="8"/>
        <v xml:space="preserve">  Dieselolie</v>
      </c>
      <c r="P34" s="567" t="str">
        <f t="shared" si="8"/>
        <v xml:space="preserve">  JP1</v>
      </c>
      <c r="Q34" s="567" t="str">
        <f t="shared" si="8"/>
        <v xml:space="preserve">  Benzin</v>
      </c>
      <c r="R34" s="567" t="str">
        <f t="shared" si="8"/>
        <v xml:space="preserve">  Naturgas</v>
      </c>
      <c r="S34" s="567" t="str">
        <f t="shared" si="8"/>
        <v xml:space="preserve">  Biobrændstof og energiafgrøder</v>
      </c>
      <c r="T34" s="74"/>
      <c r="U34" s="74"/>
      <c r="V34" s="74"/>
      <c r="W34" s="74"/>
      <c r="X34" s="74"/>
      <c r="Y34" s="74"/>
    </row>
    <row r="35" spans="11:25" x14ac:dyDescent="0.3">
      <c r="K35" s="568"/>
      <c r="L35" s="568"/>
      <c r="M35" s="568"/>
      <c r="N35" s="568"/>
      <c r="O35" s="568"/>
      <c r="P35" s="568"/>
      <c r="Q35" s="568"/>
      <c r="R35" s="568"/>
      <c r="S35" s="568"/>
      <c r="T35" s="74"/>
      <c r="U35" s="74"/>
      <c r="V35" s="74"/>
      <c r="W35" s="74"/>
      <c r="X35" s="74"/>
      <c r="Y35" s="74"/>
    </row>
    <row r="36" spans="11:25" ht="15" thickBot="1" x14ac:dyDescent="0.35">
      <c r="K36" s="569"/>
      <c r="L36" s="569"/>
      <c r="M36" s="569"/>
      <c r="N36" s="569"/>
      <c r="O36" s="569"/>
      <c r="P36" s="569"/>
      <c r="Q36" s="569"/>
      <c r="R36" s="569"/>
      <c r="S36" s="569"/>
      <c r="T36" s="74"/>
      <c r="U36" s="74"/>
      <c r="V36" s="74"/>
      <c r="W36" s="74"/>
      <c r="X36" s="74"/>
      <c r="Y36" s="74"/>
    </row>
    <row r="37" spans="11:25" ht="15" thickBot="1" x14ac:dyDescent="0.35">
      <c r="K37" s="376">
        <v>68</v>
      </c>
      <c r="L37" s="376">
        <v>94</v>
      </c>
      <c r="M37" s="376">
        <v>78.84</v>
      </c>
      <c r="N37" s="376">
        <v>74</v>
      </c>
      <c r="O37" s="376">
        <v>74</v>
      </c>
      <c r="P37" s="376">
        <v>72</v>
      </c>
      <c r="Q37" s="376">
        <v>73</v>
      </c>
      <c r="R37" s="376">
        <v>57</v>
      </c>
      <c r="S37" s="377"/>
      <c r="T37" s="378" t="s">
        <v>394</v>
      </c>
      <c r="U37" s="379"/>
      <c r="V37" s="380"/>
      <c r="W37" s="380"/>
      <c r="X37" s="380"/>
      <c r="Y37" s="380"/>
    </row>
    <row r="43" spans="11:25" ht="17.25" customHeight="1" x14ac:dyDescent="0.3"/>
  </sheetData>
  <mergeCells count="13">
    <mergeCell ref="N15:O15"/>
    <mergeCell ref="K20:T20"/>
    <mergeCell ref="V20:Y20"/>
    <mergeCell ref="AA20:AI20"/>
    <mergeCell ref="K34:K36"/>
    <mergeCell ref="L34:L36"/>
    <mergeCell ref="M34:M36"/>
    <mergeCell ref="N34:N36"/>
    <mergeCell ref="O34:O36"/>
    <mergeCell ref="P34:P36"/>
    <mergeCell ref="Q34:Q36"/>
    <mergeCell ref="R34:R36"/>
    <mergeCell ref="S34:S3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345A4-315F-4068-81B7-4A9924429958}">
  <sheetPr>
    <pageSetUpPr fitToPage="1"/>
  </sheetPr>
  <dimension ref="A1:AV96"/>
  <sheetViews>
    <sheetView showGridLines="0" showZeros="0" topLeftCell="P1" zoomScale="115" zoomScaleNormal="115" workbookViewId="0">
      <pane ySplit="7" topLeftCell="A74" activePane="bottomLeft" state="frozen"/>
      <selection pane="bottomLeft" activeCell="Y18" sqref="Y18"/>
    </sheetView>
  </sheetViews>
  <sheetFormatPr defaultColWidth="9.109375" defaultRowHeight="13.2" x14ac:dyDescent="0.25"/>
  <cols>
    <col min="1" max="23" width="7.109375" style="337" customWidth="1"/>
    <col min="24" max="24" width="8.6640625" style="337" customWidth="1"/>
    <col min="25" max="25" width="52.109375" style="337" bestFit="1" customWidth="1"/>
    <col min="26" max="29" width="5.6640625" style="337" customWidth="1"/>
    <col min="30" max="34" width="8.6640625" style="337" customWidth="1"/>
    <col min="35" max="43" width="7.109375" style="337" customWidth="1"/>
    <col min="44" max="16384" width="9.109375" style="337"/>
  </cols>
  <sheetData>
    <row r="1" spans="1:48" ht="15" customHeight="1" x14ac:dyDescent="0.25">
      <c r="A1" s="335" t="s">
        <v>355</v>
      </c>
      <c r="B1" s="336"/>
      <c r="C1" s="336"/>
      <c r="D1" s="575">
        <v>96883</v>
      </c>
      <c r="E1" s="576"/>
      <c r="F1" s="74"/>
      <c r="G1" s="74"/>
      <c r="H1" s="74"/>
      <c r="I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338"/>
      <c r="W1" s="338"/>
      <c r="X1" s="338"/>
      <c r="Y1" s="577" t="s">
        <v>356</v>
      </c>
      <c r="Z1" s="338"/>
      <c r="AA1" s="338"/>
      <c r="AB1" s="338"/>
      <c r="AC1" s="338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</row>
    <row r="2" spans="1:48" ht="15" customHeight="1" x14ac:dyDescent="0.3">
      <c r="A2" s="339" t="s">
        <v>405</v>
      </c>
      <c r="B2" s="74"/>
      <c r="C2" s="74"/>
      <c r="D2" s="340">
        <v>91.85</v>
      </c>
      <c r="E2" s="341" t="s">
        <v>406</v>
      </c>
      <c r="F2" s="74"/>
      <c r="G2" s="74"/>
      <c r="H2" s="413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338"/>
      <c r="W2" s="338"/>
      <c r="X2" s="338"/>
      <c r="Y2" s="577"/>
      <c r="Z2" s="338"/>
      <c r="AA2" s="338"/>
      <c r="AB2" s="338"/>
      <c r="AC2" s="338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</row>
    <row r="3" spans="1:48" ht="15" customHeight="1" thickBot="1" x14ac:dyDescent="0.3">
      <c r="A3" s="342" t="s">
        <v>357</v>
      </c>
      <c r="B3" s="343"/>
      <c r="C3" s="343"/>
      <c r="D3" s="343" t="s">
        <v>358</v>
      </c>
      <c r="E3" s="34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338"/>
      <c r="W3" s="338"/>
      <c r="X3" s="338"/>
      <c r="Y3" s="578" t="s">
        <v>359</v>
      </c>
      <c r="Z3" s="338"/>
      <c r="AA3" s="338"/>
      <c r="AB3" s="338"/>
      <c r="AC3" s="338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</row>
    <row r="4" spans="1:48" ht="15" customHeight="1" x14ac:dyDescent="0.25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338"/>
      <c r="W4" s="338"/>
      <c r="X4" s="338"/>
      <c r="Y4" s="578"/>
      <c r="Z4" s="338"/>
      <c r="AA4" s="338"/>
      <c r="AB4" s="338"/>
      <c r="AC4" s="338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</row>
    <row r="5" spans="1:48" ht="15" customHeight="1" x14ac:dyDescent="0.25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</row>
    <row r="6" spans="1:48" ht="15" customHeight="1" x14ac:dyDescent="0.3">
      <c r="A6" s="566" t="s">
        <v>407</v>
      </c>
      <c r="B6" s="566"/>
      <c r="C6" s="566"/>
      <c r="D6" s="566"/>
      <c r="E6" s="566"/>
      <c r="F6" s="566"/>
      <c r="G6" s="566"/>
      <c r="H6" s="566"/>
      <c r="I6" s="566"/>
      <c r="J6" s="566"/>
      <c r="K6" s="566"/>
      <c r="L6" s="566"/>
      <c r="M6" s="566"/>
      <c r="N6" s="566"/>
      <c r="O6" s="566"/>
      <c r="P6" s="566"/>
      <c r="Q6" s="566"/>
      <c r="R6" s="566"/>
      <c r="S6" s="566"/>
      <c r="T6" s="566"/>
      <c r="U6" s="566"/>
      <c r="V6" s="566"/>
      <c r="W6" s="566"/>
      <c r="X6" s="566"/>
      <c r="Y6" s="345" t="s">
        <v>408</v>
      </c>
      <c r="Z6" s="566" t="s">
        <v>409</v>
      </c>
      <c r="AA6" s="566"/>
      <c r="AB6" s="566"/>
      <c r="AC6" s="566"/>
      <c r="AD6" s="566" t="s">
        <v>410</v>
      </c>
      <c r="AE6" s="566"/>
      <c r="AF6" s="566" t="s">
        <v>411</v>
      </c>
      <c r="AG6" s="566"/>
      <c r="AH6" s="346"/>
      <c r="AI6" s="566" t="s">
        <v>412</v>
      </c>
      <c r="AJ6" s="566"/>
      <c r="AK6" s="566"/>
      <c r="AL6" s="566"/>
      <c r="AM6" s="566"/>
      <c r="AN6" s="566"/>
      <c r="AO6" s="566"/>
      <c r="AP6" s="566"/>
      <c r="AQ6" s="566"/>
    </row>
    <row r="7" spans="1:48" s="422" customFormat="1" ht="159.9" customHeight="1" thickBot="1" x14ac:dyDescent="0.8">
      <c r="A7" s="414" t="s">
        <v>413</v>
      </c>
      <c r="B7" s="415" t="s">
        <v>360</v>
      </c>
      <c r="C7" s="415" t="s">
        <v>361</v>
      </c>
      <c r="D7" s="415" t="s">
        <v>362</v>
      </c>
      <c r="E7" s="415" t="s">
        <v>363</v>
      </c>
      <c r="F7" s="415" t="s">
        <v>364</v>
      </c>
      <c r="G7" s="415" t="s">
        <v>365</v>
      </c>
      <c r="H7" s="415" t="s">
        <v>366</v>
      </c>
      <c r="I7" s="415" t="s">
        <v>367</v>
      </c>
      <c r="J7" s="415" t="s">
        <v>414</v>
      </c>
      <c r="K7" s="415" t="s">
        <v>415</v>
      </c>
      <c r="L7" s="415" t="s">
        <v>416</v>
      </c>
      <c r="M7" s="415" t="s">
        <v>417</v>
      </c>
      <c r="N7" s="415" t="s">
        <v>418</v>
      </c>
      <c r="O7" s="415" t="s">
        <v>419</v>
      </c>
      <c r="P7" s="415" t="s">
        <v>368</v>
      </c>
      <c r="Q7" s="415" t="s">
        <v>420</v>
      </c>
      <c r="R7" s="415" t="s">
        <v>421</v>
      </c>
      <c r="S7" s="415" t="s">
        <v>422</v>
      </c>
      <c r="T7" s="415" t="s">
        <v>423</v>
      </c>
      <c r="U7" s="415" t="s">
        <v>424</v>
      </c>
      <c r="V7" s="415" t="s">
        <v>425</v>
      </c>
      <c r="W7" s="415" t="s">
        <v>426</v>
      </c>
      <c r="X7" s="416" t="s">
        <v>369</v>
      </c>
      <c r="Y7" s="417"/>
      <c r="Z7" s="418" t="s">
        <v>370</v>
      </c>
      <c r="AA7" s="415" t="s">
        <v>371</v>
      </c>
      <c r="AB7" s="415" t="s">
        <v>372</v>
      </c>
      <c r="AC7" s="416" t="s">
        <v>373</v>
      </c>
      <c r="AD7" s="414" t="s">
        <v>427</v>
      </c>
      <c r="AE7" s="416" t="s">
        <v>428</v>
      </c>
      <c r="AF7" s="414" t="s">
        <v>427</v>
      </c>
      <c r="AG7" s="416" t="s">
        <v>428</v>
      </c>
      <c r="AH7" s="419" t="s">
        <v>374</v>
      </c>
      <c r="AI7" s="420" t="s">
        <v>375</v>
      </c>
      <c r="AJ7" s="415" t="s">
        <v>376</v>
      </c>
      <c r="AK7" s="415" t="s">
        <v>377</v>
      </c>
      <c r="AL7" s="415" t="s">
        <v>378</v>
      </c>
      <c r="AM7" s="415" t="s">
        <v>379</v>
      </c>
      <c r="AN7" s="415" t="s">
        <v>380</v>
      </c>
      <c r="AO7" s="421" t="s">
        <v>381</v>
      </c>
      <c r="AP7" s="421" t="s">
        <v>382</v>
      </c>
      <c r="AQ7" s="416" t="s">
        <v>383</v>
      </c>
    </row>
    <row r="8" spans="1:48" ht="15" customHeight="1" x14ac:dyDescent="0.25">
      <c r="A8" s="347"/>
      <c r="B8" s="348"/>
      <c r="C8" s="348"/>
      <c r="D8" s="348"/>
      <c r="E8" s="348"/>
      <c r="F8" s="348"/>
      <c r="G8" s="348"/>
      <c r="H8" s="348"/>
      <c r="I8" s="348"/>
      <c r="J8" s="348"/>
      <c r="K8" s="348"/>
      <c r="L8" s="348"/>
      <c r="M8" s="348"/>
      <c r="N8" s="348"/>
      <c r="O8" s="348"/>
      <c r="P8" s="348"/>
      <c r="Q8" s="348"/>
      <c r="R8" s="348"/>
      <c r="S8" s="348"/>
      <c r="T8" s="348"/>
      <c r="U8" s="348"/>
      <c r="V8" s="348"/>
      <c r="W8" s="348"/>
      <c r="X8" s="352">
        <f t="shared" ref="X8:X80" si="0">SUM(A8:W8)</f>
        <v>0</v>
      </c>
      <c r="Y8" s="121" t="s">
        <v>429</v>
      </c>
      <c r="Z8" s="347"/>
      <c r="AA8" s="348">
        <v>44</v>
      </c>
      <c r="AB8" s="348"/>
      <c r="AC8" s="352"/>
      <c r="AD8" s="347">
        <f t="shared" ref="AD8:AD13" si="1">-AE8/$D$2%</f>
        <v>-103.67694363339436</v>
      </c>
      <c r="AE8" s="423">
        <f>AH8/AA8%</f>
        <v>95.22727272727272</v>
      </c>
      <c r="AF8" s="424"/>
      <c r="AG8" s="423"/>
      <c r="AH8" s="425">
        <f t="shared" ref="AH8:AH14" si="2">SUM(AI8:AQ8)</f>
        <v>41.9</v>
      </c>
      <c r="AI8" s="349">
        <v>41.9</v>
      </c>
      <c r="AJ8" s="350"/>
      <c r="AK8" s="350"/>
      <c r="AL8" s="350"/>
      <c r="AM8" s="350"/>
      <c r="AN8" s="350"/>
      <c r="AO8" s="350"/>
      <c r="AP8" s="350"/>
      <c r="AQ8" s="426"/>
    </row>
    <row r="9" spans="1:48" ht="15" customHeight="1" x14ac:dyDescent="0.25">
      <c r="A9" s="347"/>
      <c r="B9" s="348"/>
      <c r="C9" s="348"/>
      <c r="D9" s="348"/>
      <c r="E9" s="348"/>
      <c r="F9" s="348"/>
      <c r="G9" s="348"/>
      <c r="H9" s="348"/>
      <c r="I9" s="348"/>
      <c r="J9" s="348"/>
      <c r="K9" s="348"/>
      <c r="L9" s="348"/>
      <c r="M9" s="348"/>
      <c r="N9" s="348"/>
      <c r="O9" s="348"/>
      <c r="P9" s="348"/>
      <c r="Q9" s="348"/>
      <c r="R9" s="348"/>
      <c r="S9" s="348"/>
      <c r="T9" s="348"/>
      <c r="U9" s="348"/>
      <c r="V9" s="348"/>
      <c r="W9" s="348"/>
      <c r="X9" s="352">
        <f t="shared" si="0"/>
        <v>0</v>
      </c>
      <c r="Y9" s="121" t="s">
        <v>430</v>
      </c>
      <c r="Z9" s="347"/>
      <c r="AA9" s="348"/>
      <c r="AB9" s="348">
        <v>90</v>
      </c>
      <c r="AC9" s="352"/>
      <c r="AD9" s="347">
        <f t="shared" si="1"/>
        <v>-5.9275388616705982</v>
      </c>
      <c r="AE9" s="423">
        <f>AH9/AB9%</f>
        <v>5.4444444444444446</v>
      </c>
      <c r="AF9" s="424"/>
      <c r="AG9" s="423"/>
      <c r="AH9" s="425">
        <f t="shared" si="2"/>
        <v>4.9000000000000004</v>
      </c>
      <c r="AI9" s="349">
        <v>4.9000000000000004</v>
      </c>
      <c r="AJ9" s="350"/>
      <c r="AK9" s="350"/>
      <c r="AL9" s="350"/>
      <c r="AM9" s="350"/>
      <c r="AN9" s="350"/>
      <c r="AO9" s="350"/>
      <c r="AP9" s="350"/>
      <c r="AQ9" s="426"/>
    </row>
    <row r="10" spans="1:48" ht="15" customHeight="1" x14ac:dyDescent="0.25">
      <c r="A10" s="347"/>
      <c r="B10" s="348"/>
      <c r="C10" s="348"/>
      <c r="D10" s="348"/>
      <c r="E10" s="348"/>
      <c r="F10" s="348"/>
      <c r="G10" s="348"/>
      <c r="H10" s="348"/>
      <c r="I10" s="348"/>
      <c r="J10" s="348"/>
      <c r="K10" s="348"/>
      <c r="L10" s="348"/>
      <c r="M10" s="348"/>
      <c r="N10" s="348"/>
      <c r="O10" s="348"/>
      <c r="P10" s="348"/>
      <c r="Q10" s="348"/>
      <c r="R10" s="348"/>
      <c r="S10" s="348"/>
      <c r="T10" s="348"/>
      <c r="U10" s="348"/>
      <c r="V10" s="348"/>
      <c r="W10" s="348"/>
      <c r="X10" s="352">
        <f t="shared" si="0"/>
        <v>0</v>
      </c>
      <c r="Y10" s="121" t="s">
        <v>431</v>
      </c>
      <c r="Z10" s="347"/>
      <c r="AA10" s="348"/>
      <c r="AB10" s="348">
        <v>100</v>
      </c>
      <c r="AC10" s="352"/>
      <c r="AD10" s="347">
        <f t="shared" si="1"/>
        <v>-25.040827436037016</v>
      </c>
      <c r="AE10" s="423">
        <f>AH10/AB10%</f>
        <v>23</v>
      </c>
      <c r="AF10" s="424"/>
      <c r="AG10" s="423"/>
      <c r="AH10" s="425">
        <f t="shared" si="2"/>
        <v>23</v>
      </c>
      <c r="AI10" s="349">
        <v>23</v>
      </c>
      <c r="AJ10" s="350"/>
      <c r="AK10" s="350"/>
      <c r="AL10" s="350"/>
      <c r="AM10" s="350"/>
      <c r="AN10" s="350"/>
      <c r="AO10" s="350"/>
      <c r="AP10" s="350"/>
      <c r="AQ10" s="426"/>
    </row>
    <row r="11" spans="1:48" ht="15" customHeight="1" x14ac:dyDescent="0.25">
      <c r="A11" s="347"/>
      <c r="B11" s="348"/>
      <c r="C11" s="348"/>
      <c r="D11" s="348"/>
      <c r="E11" s="348"/>
      <c r="F11" s="348"/>
      <c r="G11" s="348"/>
      <c r="H11" s="348"/>
      <c r="I11" s="348"/>
      <c r="J11" s="348"/>
      <c r="K11" s="348"/>
      <c r="L11" s="348"/>
      <c r="M11" s="348"/>
      <c r="N11" s="348"/>
      <c r="O11" s="348"/>
      <c r="P11" s="348"/>
      <c r="Q11" s="348"/>
      <c r="R11" s="348"/>
      <c r="S11" s="348"/>
      <c r="T11" s="348"/>
      <c r="U11" s="348"/>
      <c r="V11" s="348"/>
      <c r="W11" s="348"/>
      <c r="X11" s="352">
        <f t="shared" si="0"/>
        <v>0</v>
      </c>
      <c r="Y11" s="121" t="s">
        <v>432</v>
      </c>
      <c r="Z11" s="347"/>
      <c r="AA11" s="348">
        <v>50</v>
      </c>
      <c r="AB11" s="348"/>
      <c r="AC11" s="352"/>
      <c r="AD11" s="347">
        <f t="shared" si="1"/>
        <v>-380.04621135199432</v>
      </c>
      <c r="AE11" s="423">
        <f>AH11/AA11%</f>
        <v>349.07244512680677</v>
      </c>
      <c r="AF11" s="424"/>
      <c r="AG11" s="423"/>
      <c r="AH11" s="425">
        <f t="shared" si="2"/>
        <v>174.53622256340338</v>
      </c>
      <c r="AI11" s="349">
        <v>47.609944169915678</v>
      </c>
      <c r="AJ11" s="349">
        <v>47.853171518804558</v>
      </c>
      <c r="AK11" s="349">
        <v>14.706413376312875</v>
      </c>
      <c r="AL11" s="349">
        <v>22.943932073718607</v>
      </c>
      <c r="AM11" s="349">
        <v>0.45771295844844756</v>
      </c>
      <c r="AN11" s="349">
        <v>16.271193424528818</v>
      </c>
      <c r="AO11" s="349">
        <v>0.32652071134127747</v>
      </c>
      <c r="AP11" s="349">
        <v>24.367334330333122</v>
      </c>
      <c r="AQ11" s="426"/>
    </row>
    <row r="12" spans="1:48" ht="15" customHeight="1" x14ac:dyDescent="0.25">
      <c r="A12" s="347"/>
      <c r="B12" s="348"/>
      <c r="C12" s="348"/>
      <c r="D12" s="348"/>
      <c r="E12" s="348"/>
      <c r="F12" s="348"/>
      <c r="G12" s="348"/>
      <c r="H12" s="348"/>
      <c r="I12" s="348"/>
      <c r="J12" s="348"/>
      <c r="K12" s="348"/>
      <c r="L12" s="348"/>
      <c r="M12" s="348"/>
      <c r="N12" s="348"/>
      <c r="O12" s="348"/>
      <c r="P12" s="348"/>
      <c r="Q12" s="348"/>
      <c r="R12" s="348"/>
      <c r="S12" s="348"/>
      <c r="T12" s="348"/>
      <c r="U12" s="348"/>
      <c r="V12" s="348"/>
      <c r="W12" s="348"/>
      <c r="X12" s="352">
        <f t="shared" si="0"/>
        <v>0</v>
      </c>
      <c r="Y12" s="121" t="s">
        <v>433</v>
      </c>
      <c r="Z12" s="347"/>
      <c r="AA12" s="348">
        <v>150</v>
      </c>
      <c r="AB12" s="348"/>
      <c r="AC12" s="352"/>
      <c r="AD12" s="347">
        <f t="shared" si="1"/>
        <v>-273.53906725426202</v>
      </c>
      <c r="AE12" s="423">
        <f>AH12/AA12%</f>
        <v>251.24563327303966</v>
      </c>
      <c r="AF12" s="424"/>
      <c r="AG12" s="423"/>
      <c r="AH12" s="425">
        <f t="shared" si="2"/>
        <v>376.8684499095595</v>
      </c>
      <c r="AI12" s="349">
        <v>168.63135064054003</v>
      </c>
      <c r="AJ12" s="349">
        <v>0</v>
      </c>
      <c r="AK12" s="349">
        <v>49.413548944411268</v>
      </c>
      <c r="AL12" s="349">
        <v>77.091611767694516</v>
      </c>
      <c r="AM12" s="349">
        <v>1.8308518337937907</v>
      </c>
      <c r="AN12" s="349">
        <v>65.084773698115271</v>
      </c>
      <c r="AO12" s="349">
        <v>0.1959124268047665</v>
      </c>
      <c r="AP12" s="349">
        <v>14.620400598199872</v>
      </c>
      <c r="AQ12" s="426"/>
    </row>
    <row r="13" spans="1:48" ht="15" customHeight="1" x14ac:dyDescent="0.25">
      <c r="A13" s="347"/>
      <c r="B13" s="348"/>
      <c r="C13" s="348"/>
      <c r="D13" s="348"/>
      <c r="E13" s="348"/>
      <c r="F13" s="348"/>
      <c r="G13" s="348"/>
      <c r="H13" s="348"/>
      <c r="I13" s="348"/>
      <c r="J13" s="348"/>
      <c r="K13" s="348"/>
      <c r="L13" s="348"/>
      <c r="M13" s="348"/>
      <c r="N13" s="348"/>
      <c r="O13" s="348"/>
      <c r="P13" s="348"/>
      <c r="Q13" s="348"/>
      <c r="R13" s="348"/>
      <c r="S13" s="348"/>
      <c r="T13" s="348"/>
      <c r="U13" s="348"/>
      <c r="V13" s="348"/>
      <c r="W13" s="348"/>
      <c r="X13" s="352">
        <f t="shared" si="0"/>
        <v>0</v>
      </c>
      <c r="Y13" s="121" t="s">
        <v>434</v>
      </c>
      <c r="Z13" s="347"/>
      <c r="AA13" s="348">
        <v>85</v>
      </c>
      <c r="AB13" s="348"/>
      <c r="AC13" s="352"/>
      <c r="AD13" s="347">
        <f t="shared" si="1"/>
        <v>-1669.5197111314878</v>
      </c>
      <c r="AE13" s="423">
        <f>AH13/AA13%</f>
        <v>1533.4538546742715</v>
      </c>
      <c r="AF13" s="424"/>
      <c r="AG13" s="423"/>
      <c r="AH13" s="425">
        <f t="shared" si="2"/>
        <v>1303.4357764731308</v>
      </c>
      <c r="AI13" s="349">
        <v>264.74200567774403</v>
      </c>
      <c r="AJ13" s="349">
        <v>219.94735501791277</v>
      </c>
      <c r="AK13" s="349">
        <v>47.001697150695939</v>
      </c>
      <c r="AL13" s="349">
        <v>73.328806907604658</v>
      </c>
      <c r="AM13" s="349">
        <v>11.152939087527173</v>
      </c>
      <c r="AN13" s="349">
        <v>396.47474644435215</v>
      </c>
      <c r="AO13" s="349">
        <v>3.0344658107316049</v>
      </c>
      <c r="AP13" s="349">
        <v>226.45376037656246</v>
      </c>
      <c r="AQ13" s="427">
        <v>61.3</v>
      </c>
    </row>
    <row r="14" spans="1:48" ht="15" customHeight="1" x14ac:dyDescent="0.25">
      <c r="A14" s="347"/>
      <c r="B14" s="410"/>
      <c r="C14" s="348"/>
      <c r="D14" s="348"/>
      <c r="E14" s="348"/>
      <c r="F14" s="348"/>
      <c r="G14" s="348"/>
      <c r="H14" s="348"/>
      <c r="I14" s="348"/>
      <c r="J14" s="348"/>
      <c r="K14" s="348"/>
      <c r="L14" s="348"/>
      <c r="M14" s="348"/>
      <c r="N14" s="349">
        <f>AH14-AE14</f>
        <v>23.199999999999996</v>
      </c>
      <c r="O14" s="348"/>
      <c r="P14" s="348"/>
      <c r="Q14" s="348"/>
      <c r="R14" s="348"/>
      <c r="S14" s="348"/>
      <c r="T14" s="348"/>
      <c r="U14" s="348"/>
      <c r="V14" s="348"/>
      <c r="W14" s="348"/>
      <c r="X14" s="352">
        <f t="shared" si="0"/>
        <v>23.199999999999996</v>
      </c>
      <c r="Y14" s="121" t="s">
        <v>435</v>
      </c>
      <c r="Z14" s="347"/>
      <c r="AA14" s="348"/>
      <c r="AB14" s="348">
        <v>300</v>
      </c>
      <c r="AC14" s="352"/>
      <c r="AD14" s="347">
        <f>-AE14/$D$2%</f>
        <v>-12.629286880783887</v>
      </c>
      <c r="AE14" s="427">
        <v>11.6</v>
      </c>
      <c r="AF14" s="424"/>
      <c r="AG14" s="423"/>
      <c r="AH14" s="425">
        <f t="shared" si="2"/>
        <v>34.799999999999997</v>
      </c>
      <c r="AI14" s="428">
        <f>AE14*AB14/100</f>
        <v>34.799999999999997</v>
      </c>
      <c r="AJ14" s="410"/>
      <c r="AK14" s="410"/>
      <c r="AL14" s="410"/>
      <c r="AM14" s="410"/>
      <c r="AN14" s="410"/>
      <c r="AO14" s="410"/>
      <c r="AP14" s="410"/>
      <c r="AQ14" s="423"/>
      <c r="AV14" s="429"/>
    </row>
    <row r="15" spans="1:48" ht="15" customHeight="1" x14ac:dyDescent="0.25">
      <c r="A15" s="430">
        <f>Z15%*AD15</f>
        <v>832.10292933678272</v>
      </c>
      <c r="B15" s="410"/>
      <c r="C15" s="348"/>
      <c r="D15" s="348"/>
      <c r="E15" s="348"/>
      <c r="F15" s="348"/>
      <c r="G15" s="348"/>
      <c r="H15" s="348"/>
      <c r="I15" s="348"/>
      <c r="J15" s="348"/>
      <c r="K15" s="348"/>
      <c r="L15" s="348"/>
      <c r="M15" s="348"/>
      <c r="N15" s="348"/>
      <c r="O15" s="348"/>
      <c r="P15" s="348"/>
      <c r="Q15" s="348"/>
      <c r="R15" s="348"/>
      <c r="S15" s="348"/>
      <c r="T15" s="348"/>
      <c r="U15" s="348"/>
      <c r="V15" s="348"/>
      <c r="W15" s="348"/>
      <c r="X15" s="352">
        <f t="shared" si="0"/>
        <v>832.10292933678272</v>
      </c>
      <c r="Y15" s="121" t="s">
        <v>436</v>
      </c>
      <c r="Z15" s="347">
        <v>100</v>
      </c>
      <c r="AA15" s="348"/>
      <c r="AB15" s="348"/>
      <c r="AC15" s="352"/>
      <c r="AD15" s="347">
        <f>-SUM(AD16:AD80,AD8:AD14)</f>
        <v>832.10292933678272</v>
      </c>
      <c r="AE15" s="423"/>
      <c r="AF15" s="424"/>
      <c r="AG15" s="423"/>
      <c r="AH15" s="425">
        <f t="shared" ref="AH15:AH52" si="3">SUM(AI15:AQ15)</f>
        <v>0</v>
      </c>
      <c r="AI15" s="424"/>
      <c r="AJ15" s="410"/>
      <c r="AK15" s="410"/>
      <c r="AL15" s="410"/>
      <c r="AM15" s="410"/>
      <c r="AN15" s="410"/>
      <c r="AO15" s="410"/>
      <c r="AP15" s="410"/>
      <c r="AQ15" s="423"/>
      <c r="AV15" s="429"/>
    </row>
    <row r="16" spans="1:48" ht="15" customHeight="1" x14ac:dyDescent="0.25">
      <c r="A16" s="431"/>
      <c r="B16" s="349">
        <v>42.4</v>
      </c>
      <c r="C16" s="375"/>
      <c r="D16" s="375"/>
      <c r="E16" s="432"/>
      <c r="F16" s="432"/>
      <c r="G16" s="432"/>
      <c r="H16" s="432"/>
      <c r="I16" s="432"/>
      <c r="J16" s="375"/>
      <c r="K16" s="375"/>
      <c r="L16" s="375"/>
      <c r="M16" s="375"/>
      <c r="N16" s="375"/>
      <c r="O16" s="375"/>
      <c r="P16" s="375"/>
      <c r="Q16" s="375"/>
      <c r="R16" s="375"/>
      <c r="S16" s="375"/>
      <c r="T16" s="375"/>
      <c r="U16" s="375"/>
      <c r="V16" s="375"/>
      <c r="W16" s="375"/>
      <c r="X16" s="352">
        <f t="shared" si="0"/>
        <v>42.4</v>
      </c>
      <c r="Y16" s="124" t="s">
        <v>437</v>
      </c>
      <c r="Z16" s="374"/>
      <c r="AA16" s="375"/>
      <c r="AB16" s="432">
        <v>38</v>
      </c>
      <c r="AC16" s="351"/>
      <c r="AD16" s="374"/>
      <c r="AE16" s="351"/>
      <c r="AF16" s="374"/>
      <c r="AG16" s="351"/>
      <c r="AH16" s="353">
        <f t="shared" si="3"/>
        <v>16.112000000000002</v>
      </c>
      <c r="AI16" s="433">
        <f>X16*AB16/100*0.2</f>
        <v>3.2224000000000004</v>
      </c>
      <c r="AJ16" s="405"/>
      <c r="AK16" s="405"/>
      <c r="AL16" s="405"/>
      <c r="AM16" s="405"/>
      <c r="AN16" s="405">
        <f>X16*AB16/100*0.6</f>
        <v>9.6672000000000011</v>
      </c>
      <c r="AO16" s="405"/>
      <c r="AP16" s="405"/>
      <c r="AQ16" s="434">
        <f>X16*AB16/100*0.2</f>
        <v>3.2224000000000004</v>
      </c>
      <c r="AV16" s="429"/>
    </row>
    <row r="17" spans="1:48" ht="15" customHeight="1" x14ac:dyDescent="0.25">
      <c r="A17" s="347"/>
      <c r="B17" s="410"/>
      <c r="C17" s="348"/>
      <c r="D17" s="348"/>
      <c r="E17" s="349">
        <v>208.7</v>
      </c>
      <c r="F17" s="410"/>
      <c r="G17" s="410"/>
      <c r="H17" s="410"/>
      <c r="I17" s="410"/>
      <c r="J17" s="348"/>
      <c r="K17" s="348"/>
      <c r="L17" s="348"/>
      <c r="M17" s="348"/>
      <c r="N17" s="410"/>
      <c r="O17" s="410"/>
      <c r="P17" s="410"/>
      <c r="Q17" s="410"/>
      <c r="R17" s="410"/>
      <c r="S17" s="410"/>
      <c r="T17" s="410"/>
      <c r="U17" s="410"/>
      <c r="V17" s="410"/>
      <c r="W17" s="410"/>
      <c r="X17" s="352">
        <f t="shared" si="0"/>
        <v>208.7</v>
      </c>
      <c r="Y17" s="121" t="s">
        <v>438</v>
      </c>
      <c r="Z17" s="347"/>
      <c r="AA17" s="348"/>
      <c r="AB17" s="410">
        <v>80</v>
      </c>
      <c r="AC17" s="352"/>
      <c r="AD17" s="347"/>
      <c r="AE17" s="352"/>
      <c r="AF17" s="347"/>
      <c r="AG17" s="352"/>
      <c r="AH17" s="353">
        <f t="shared" si="3"/>
        <v>166.96</v>
      </c>
      <c r="AI17" s="354">
        <f t="shared" ref="AI17:AI22" si="4">X17*AB17/100</f>
        <v>166.96</v>
      </c>
      <c r="AJ17" s="348"/>
      <c r="AK17" s="348"/>
      <c r="AL17" s="348"/>
      <c r="AM17" s="348"/>
      <c r="AN17" s="348"/>
      <c r="AO17" s="348"/>
      <c r="AP17" s="348"/>
      <c r="AQ17" s="352"/>
      <c r="AS17" s="429"/>
    </row>
    <row r="18" spans="1:48" ht="15" customHeight="1" x14ac:dyDescent="0.25">
      <c r="A18" s="347"/>
      <c r="B18" s="410"/>
      <c r="C18" s="348"/>
      <c r="D18" s="348"/>
      <c r="E18" s="410"/>
      <c r="F18" s="410"/>
      <c r="G18" s="410"/>
      <c r="H18" s="410"/>
      <c r="I18" s="349">
        <v>411.1</v>
      </c>
      <c r="J18" s="348"/>
      <c r="K18" s="348"/>
      <c r="L18" s="348"/>
      <c r="M18" s="348"/>
      <c r="N18" s="410"/>
      <c r="O18" s="410"/>
      <c r="P18" s="410"/>
      <c r="Q18" s="410"/>
      <c r="R18" s="410"/>
      <c r="S18" s="410"/>
      <c r="T18" s="410"/>
      <c r="U18" s="410"/>
      <c r="V18" s="410"/>
      <c r="W18" s="410"/>
      <c r="X18" s="352">
        <f t="shared" si="0"/>
        <v>411.1</v>
      </c>
      <c r="Y18" s="121" t="s">
        <v>439</v>
      </c>
      <c r="Z18" s="347"/>
      <c r="AA18" s="348"/>
      <c r="AB18" s="410">
        <v>85</v>
      </c>
      <c r="AC18" s="352"/>
      <c r="AD18" s="347"/>
      <c r="AE18" s="352"/>
      <c r="AF18" s="347"/>
      <c r="AG18" s="352"/>
      <c r="AH18" s="353">
        <f t="shared" si="3"/>
        <v>349.435</v>
      </c>
      <c r="AI18" s="354">
        <f t="shared" si="4"/>
        <v>349.435</v>
      </c>
      <c r="AJ18" s="348"/>
      <c r="AK18" s="348"/>
      <c r="AL18" s="348"/>
      <c r="AM18" s="348"/>
      <c r="AN18" s="348"/>
      <c r="AO18" s="348"/>
      <c r="AP18" s="348"/>
      <c r="AQ18" s="352"/>
      <c r="AS18" s="429"/>
    </row>
    <row r="19" spans="1:48" ht="15" customHeight="1" x14ac:dyDescent="0.25">
      <c r="A19" s="347"/>
      <c r="B19" s="348"/>
      <c r="C19" s="348"/>
      <c r="D19" s="348"/>
      <c r="E19" s="348"/>
      <c r="F19" s="348"/>
      <c r="G19" s="348"/>
      <c r="H19" s="348"/>
      <c r="I19" s="350"/>
      <c r="J19" s="348"/>
      <c r="K19" s="348"/>
      <c r="L19" s="348"/>
      <c r="M19" s="348"/>
      <c r="N19" s="410"/>
      <c r="O19" s="410"/>
      <c r="P19" s="410"/>
      <c r="Q19" s="350"/>
      <c r="R19" s="350"/>
      <c r="S19" s="349">
        <v>635.79999999999995</v>
      </c>
      <c r="T19" s="410"/>
      <c r="U19" s="410"/>
      <c r="V19" s="410"/>
      <c r="W19" s="410"/>
      <c r="X19" s="352">
        <f t="shared" si="0"/>
        <v>635.79999999999995</v>
      </c>
      <c r="Y19" s="121" t="s">
        <v>440</v>
      </c>
      <c r="Z19" s="347"/>
      <c r="AA19" s="348"/>
      <c r="AB19" s="410">
        <v>75</v>
      </c>
      <c r="AC19" s="352"/>
      <c r="AD19" s="347"/>
      <c r="AE19" s="352"/>
      <c r="AF19" s="347"/>
      <c r="AG19" s="352"/>
      <c r="AH19" s="353">
        <f t="shared" si="3"/>
        <v>476.85</v>
      </c>
      <c r="AI19" s="354">
        <f t="shared" si="4"/>
        <v>476.85</v>
      </c>
      <c r="AJ19" s="348"/>
      <c r="AK19" s="348"/>
      <c r="AL19" s="348"/>
      <c r="AM19" s="348"/>
      <c r="AN19" s="348"/>
      <c r="AO19" s="348"/>
      <c r="AP19" s="348"/>
      <c r="AQ19" s="352"/>
      <c r="AV19" s="429"/>
    </row>
    <row r="20" spans="1:48" ht="15" customHeight="1" x14ac:dyDescent="0.25">
      <c r="A20" s="347"/>
      <c r="B20" s="348"/>
      <c r="C20" s="348"/>
      <c r="D20" s="348"/>
      <c r="E20" s="348"/>
      <c r="F20" s="348"/>
      <c r="G20" s="348"/>
      <c r="H20" s="348"/>
      <c r="I20" s="350"/>
      <c r="J20" s="348"/>
      <c r="K20" s="348"/>
      <c r="L20" s="348"/>
      <c r="M20" s="348"/>
      <c r="N20" s="410"/>
      <c r="O20" s="410"/>
      <c r="P20" s="410"/>
      <c r="Q20" s="350"/>
      <c r="R20" s="349">
        <v>445.7</v>
      </c>
      <c r="S20" s="350"/>
      <c r="T20" s="410"/>
      <c r="U20" s="410"/>
      <c r="V20" s="410"/>
      <c r="W20" s="410"/>
      <c r="X20" s="352">
        <f t="shared" si="0"/>
        <v>445.7</v>
      </c>
      <c r="Y20" s="121" t="s">
        <v>441</v>
      </c>
      <c r="Z20" s="347"/>
      <c r="AA20" s="348"/>
      <c r="AB20" s="410">
        <v>65</v>
      </c>
      <c r="AC20" s="352"/>
      <c r="AD20" s="347"/>
      <c r="AE20" s="352"/>
      <c r="AF20" s="347"/>
      <c r="AG20" s="352"/>
      <c r="AH20" s="353">
        <f t="shared" si="3"/>
        <v>289.70499999999998</v>
      </c>
      <c r="AI20" s="354">
        <f t="shared" si="4"/>
        <v>289.70499999999998</v>
      </c>
      <c r="AJ20" s="348"/>
      <c r="AK20" s="348"/>
      <c r="AL20" s="348"/>
      <c r="AM20" s="348"/>
      <c r="AN20" s="348"/>
      <c r="AO20" s="348"/>
      <c r="AP20" s="348"/>
      <c r="AQ20" s="352"/>
      <c r="AS20" s="429"/>
    </row>
    <row r="21" spans="1:48" ht="15" customHeight="1" x14ac:dyDescent="0.25">
      <c r="A21" s="347"/>
      <c r="B21" s="348"/>
      <c r="C21" s="348"/>
      <c r="D21" s="348"/>
      <c r="E21" s="348"/>
      <c r="F21" s="348"/>
      <c r="G21" s="348"/>
      <c r="H21" s="348"/>
      <c r="I21" s="350"/>
      <c r="J21" s="348"/>
      <c r="K21" s="348"/>
      <c r="L21" s="348"/>
      <c r="M21" s="348"/>
      <c r="N21" s="410"/>
      <c r="O21" s="410"/>
      <c r="P21" s="410"/>
      <c r="Q21" s="349">
        <v>106.3</v>
      </c>
      <c r="R21" s="350"/>
      <c r="S21" s="350"/>
      <c r="T21" s="410"/>
      <c r="U21" s="410"/>
      <c r="V21" s="410"/>
      <c r="W21" s="410"/>
      <c r="X21" s="352">
        <f t="shared" si="0"/>
        <v>106.3</v>
      </c>
      <c r="Y21" s="121" t="s">
        <v>442</v>
      </c>
      <c r="Z21" s="347"/>
      <c r="AA21" s="348"/>
      <c r="AB21" s="410">
        <v>65</v>
      </c>
      <c r="AC21" s="352"/>
      <c r="AD21" s="347"/>
      <c r="AE21" s="352"/>
      <c r="AF21" s="347"/>
      <c r="AG21" s="352"/>
      <c r="AH21" s="353">
        <f t="shared" si="3"/>
        <v>69.094999999999999</v>
      </c>
      <c r="AI21" s="354">
        <f t="shared" si="4"/>
        <v>69.094999999999999</v>
      </c>
      <c r="AJ21" s="348"/>
      <c r="AK21" s="348"/>
      <c r="AL21" s="348"/>
      <c r="AM21" s="348"/>
      <c r="AN21" s="348"/>
      <c r="AO21" s="348"/>
      <c r="AP21" s="348"/>
      <c r="AQ21" s="352"/>
      <c r="AS21" s="429"/>
    </row>
    <row r="22" spans="1:48" ht="15" customHeight="1" x14ac:dyDescent="0.25">
      <c r="A22" s="347"/>
      <c r="B22" s="348"/>
      <c r="C22" s="348"/>
      <c r="D22" s="348"/>
      <c r="E22" s="348"/>
      <c r="F22" s="348"/>
      <c r="G22" s="348"/>
      <c r="H22" s="348"/>
      <c r="I22" s="350"/>
      <c r="J22" s="348"/>
      <c r="K22" s="348"/>
      <c r="L22" s="349">
        <v>11.6</v>
      </c>
      <c r="M22" s="348"/>
      <c r="N22" s="410"/>
      <c r="O22" s="410"/>
      <c r="P22" s="410"/>
      <c r="Q22" s="410"/>
      <c r="R22" s="410"/>
      <c r="S22" s="410"/>
      <c r="T22" s="410"/>
      <c r="U22" s="410"/>
      <c r="V22" s="410"/>
      <c r="W22" s="410"/>
      <c r="X22" s="352">
        <f t="shared" si="0"/>
        <v>11.6</v>
      </c>
      <c r="Y22" s="121" t="s">
        <v>443</v>
      </c>
      <c r="Z22" s="347"/>
      <c r="AA22" s="348"/>
      <c r="AB22" s="348">
        <v>100</v>
      </c>
      <c r="AC22" s="352"/>
      <c r="AD22" s="347"/>
      <c r="AE22" s="352"/>
      <c r="AF22" s="347"/>
      <c r="AG22" s="352"/>
      <c r="AH22" s="353">
        <f t="shared" si="3"/>
        <v>11.6</v>
      </c>
      <c r="AI22" s="354">
        <f t="shared" si="4"/>
        <v>11.6</v>
      </c>
      <c r="AJ22" s="348"/>
      <c r="AK22" s="348"/>
      <c r="AL22" s="348"/>
      <c r="AM22" s="348"/>
      <c r="AN22" s="348"/>
      <c r="AO22" s="348"/>
      <c r="AP22" s="348"/>
      <c r="AQ22" s="352"/>
      <c r="AV22" s="429"/>
    </row>
    <row r="23" spans="1:48" ht="15" customHeight="1" x14ac:dyDescent="0.25">
      <c r="A23" s="347"/>
      <c r="B23" s="348"/>
      <c r="C23" s="410"/>
      <c r="D23" s="410"/>
      <c r="E23" s="349">
        <v>20.5</v>
      </c>
      <c r="F23" s="410"/>
      <c r="G23" s="410"/>
      <c r="H23" s="410"/>
      <c r="I23" s="350"/>
      <c r="J23" s="410"/>
      <c r="K23" s="410"/>
      <c r="L23" s="410"/>
      <c r="M23" s="410"/>
      <c r="N23" s="410"/>
      <c r="O23" s="410"/>
      <c r="P23" s="410"/>
      <c r="Q23" s="410"/>
      <c r="R23" s="410"/>
      <c r="S23" s="410"/>
      <c r="T23" s="410"/>
      <c r="U23" s="410"/>
      <c r="V23" s="410"/>
      <c r="W23" s="410"/>
      <c r="X23" s="352">
        <f t="shared" si="0"/>
        <v>20.5</v>
      </c>
      <c r="Y23" s="121" t="s">
        <v>444</v>
      </c>
      <c r="Z23" s="347"/>
      <c r="AA23" s="348">
        <v>90</v>
      </c>
      <c r="AB23" s="348"/>
      <c r="AC23" s="352"/>
      <c r="AD23" s="347"/>
      <c r="AE23" s="352"/>
      <c r="AF23" s="347"/>
      <c r="AG23" s="352"/>
      <c r="AH23" s="353">
        <f t="shared" si="3"/>
        <v>18.45</v>
      </c>
      <c r="AI23" s="354"/>
      <c r="AJ23" s="348"/>
      <c r="AK23" s="348"/>
      <c r="AL23" s="348"/>
      <c r="AM23" s="348"/>
      <c r="AN23" s="348">
        <f>X23*AA23/100</f>
        <v>18.45</v>
      </c>
      <c r="AO23" s="348"/>
      <c r="AP23" s="348"/>
      <c r="AQ23" s="352"/>
      <c r="AV23" s="429"/>
    </row>
    <row r="24" spans="1:48" ht="15" customHeight="1" x14ac:dyDescent="0.25">
      <c r="A24" s="347"/>
      <c r="B24" s="348"/>
      <c r="C24" s="410"/>
      <c r="D24" s="410"/>
      <c r="E24" s="410"/>
      <c r="F24" s="410"/>
      <c r="G24" s="410"/>
      <c r="H24" s="410"/>
      <c r="I24" s="349">
        <v>1059.8</v>
      </c>
      <c r="J24" s="410"/>
      <c r="K24" s="410"/>
      <c r="L24" s="410"/>
      <c r="M24" s="410"/>
      <c r="N24" s="410"/>
      <c r="O24" s="410"/>
      <c r="P24" s="410"/>
      <c r="Q24" s="410"/>
      <c r="R24" s="410"/>
      <c r="S24" s="410"/>
      <c r="T24" s="410"/>
      <c r="U24" s="410"/>
      <c r="V24" s="410"/>
      <c r="W24" s="410"/>
      <c r="X24" s="352">
        <f t="shared" si="0"/>
        <v>1059.8</v>
      </c>
      <c r="Y24" s="121" t="s">
        <v>445</v>
      </c>
      <c r="Z24" s="347"/>
      <c r="AA24" s="348">
        <v>90</v>
      </c>
      <c r="AB24" s="348"/>
      <c r="AC24" s="352"/>
      <c r="AD24" s="347"/>
      <c r="AE24" s="352"/>
      <c r="AF24" s="347"/>
      <c r="AG24" s="352"/>
      <c r="AH24" s="353">
        <f t="shared" si="3"/>
        <v>953.82</v>
      </c>
      <c r="AI24" s="354"/>
      <c r="AJ24" s="348"/>
      <c r="AK24" s="348"/>
      <c r="AL24" s="348"/>
      <c r="AM24" s="348"/>
      <c r="AN24" s="348">
        <f>X24*AA24/100</f>
        <v>953.82</v>
      </c>
      <c r="AO24" s="348"/>
      <c r="AP24" s="348"/>
      <c r="AQ24" s="352"/>
      <c r="AS24" s="429"/>
    </row>
    <row r="25" spans="1:48" ht="15" customHeight="1" x14ac:dyDescent="0.25">
      <c r="A25" s="347"/>
      <c r="B25" s="348"/>
      <c r="C25" s="349"/>
      <c r="D25" s="349"/>
      <c r="E25" s="350"/>
      <c r="F25" s="350"/>
      <c r="G25" s="350"/>
      <c r="H25" s="350"/>
      <c r="I25" s="350"/>
      <c r="J25" s="350"/>
      <c r="K25" s="350"/>
      <c r="L25" s="350"/>
      <c r="M25" s="350"/>
      <c r="N25" s="350"/>
      <c r="O25" s="435"/>
      <c r="P25" s="350"/>
      <c r="Q25" s="350"/>
      <c r="R25" s="350"/>
      <c r="S25" s="349">
        <v>3.1</v>
      </c>
      <c r="T25" s="435"/>
      <c r="U25" s="350"/>
      <c r="V25" s="350"/>
      <c r="W25" s="349"/>
      <c r="X25" s="352">
        <f t="shared" si="0"/>
        <v>3.1</v>
      </c>
      <c r="Y25" s="121" t="s">
        <v>446</v>
      </c>
      <c r="Z25" s="347"/>
      <c r="AA25" s="348">
        <v>90</v>
      </c>
      <c r="AB25" s="348"/>
      <c r="AC25" s="352"/>
      <c r="AD25" s="347"/>
      <c r="AE25" s="352"/>
      <c r="AF25" s="347"/>
      <c r="AG25" s="352"/>
      <c r="AH25" s="353">
        <f t="shared" si="3"/>
        <v>2.79</v>
      </c>
      <c r="AI25" s="428"/>
      <c r="AJ25" s="410"/>
      <c r="AK25" s="410"/>
      <c r="AL25" s="410"/>
      <c r="AM25" s="410"/>
      <c r="AN25" s="410">
        <f>X25*AA25/100</f>
        <v>2.79</v>
      </c>
      <c r="AO25" s="410"/>
      <c r="AP25" s="410"/>
      <c r="AQ25" s="352"/>
      <c r="AR25" s="436"/>
      <c r="AS25" s="429"/>
    </row>
    <row r="26" spans="1:48" ht="15" customHeight="1" x14ac:dyDescent="0.25">
      <c r="A26" s="347"/>
      <c r="B26" s="348"/>
      <c r="C26" s="348"/>
      <c r="D26" s="348"/>
      <c r="E26" s="348"/>
      <c r="F26" s="348"/>
      <c r="G26" s="348"/>
      <c r="H26" s="410"/>
      <c r="I26" s="410"/>
      <c r="J26" s="410"/>
      <c r="K26" s="410"/>
      <c r="L26" s="349">
        <v>59.4</v>
      </c>
      <c r="M26" s="410"/>
      <c r="N26" s="410"/>
      <c r="O26" s="410"/>
      <c r="P26" s="410"/>
      <c r="Q26" s="410"/>
      <c r="R26" s="410"/>
      <c r="S26" s="410"/>
      <c r="T26" s="410"/>
      <c r="U26" s="410"/>
      <c r="V26" s="410"/>
      <c r="W26" s="410"/>
      <c r="X26" s="352">
        <f t="shared" si="0"/>
        <v>59.4</v>
      </c>
      <c r="Y26" s="121" t="s">
        <v>447</v>
      </c>
      <c r="Z26" s="348">
        <v>100</v>
      </c>
      <c r="AA26" s="348"/>
      <c r="AB26" s="348"/>
      <c r="AC26" s="352"/>
      <c r="AD26" s="347">
        <f>X26*Z26/100</f>
        <v>59.4</v>
      </c>
      <c r="AE26" s="352"/>
      <c r="AF26" s="347"/>
      <c r="AG26" s="352"/>
      <c r="AH26" s="353">
        <f t="shared" si="3"/>
        <v>0</v>
      </c>
      <c r="AI26" s="428"/>
      <c r="AJ26" s="410"/>
      <c r="AK26" s="410"/>
      <c r="AL26" s="410"/>
      <c r="AM26" s="410"/>
      <c r="AN26" s="410"/>
      <c r="AO26" s="410"/>
      <c r="AP26" s="410"/>
      <c r="AQ26" s="352"/>
      <c r="AV26" s="429"/>
    </row>
    <row r="27" spans="1:48" ht="15" customHeight="1" x14ac:dyDescent="0.25">
      <c r="A27" s="347"/>
      <c r="B27" s="348"/>
      <c r="C27" s="348"/>
      <c r="D27" s="348"/>
      <c r="E27" s="348"/>
      <c r="F27" s="348"/>
      <c r="G27" s="348"/>
      <c r="H27" s="410"/>
      <c r="I27" s="410"/>
      <c r="J27" s="349">
        <v>399.6</v>
      </c>
      <c r="K27" s="410"/>
      <c r="L27" s="410"/>
      <c r="M27" s="410"/>
      <c r="N27" s="410"/>
      <c r="O27" s="410"/>
      <c r="P27" s="410"/>
      <c r="Q27" s="410"/>
      <c r="R27" s="410"/>
      <c r="S27" s="410"/>
      <c r="T27" s="410"/>
      <c r="U27" s="410"/>
      <c r="V27" s="410"/>
      <c r="W27" s="410"/>
      <c r="X27" s="352">
        <f t="shared" si="0"/>
        <v>399.6</v>
      </c>
      <c r="Y27" s="121" t="s">
        <v>448</v>
      </c>
      <c r="Z27" s="348">
        <v>100</v>
      </c>
      <c r="AA27" s="348"/>
      <c r="AB27" s="348"/>
      <c r="AC27" s="352"/>
      <c r="AD27" s="347">
        <f>Z27*X27/100</f>
        <v>399.6</v>
      </c>
      <c r="AE27" s="352"/>
      <c r="AF27" s="347"/>
      <c r="AG27" s="352"/>
      <c r="AH27" s="353">
        <f t="shared" si="3"/>
        <v>0</v>
      </c>
      <c r="AI27" s="428"/>
      <c r="AJ27" s="410"/>
      <c r="AK27" s="410"/>
      <c r="AL27" s="410"/>
      <c r="AM27" s="410"/>
      <c r="AN27" s="410"/>
      <c r="AO27" s="410"/>
      <c r="AP27" s="410"/>
      <c r="AQ27" s="352"/>
      <c r="AV27" s="429"/>
    </row>
    <row r="28" spans="1:48" ht="15" customHeight="1" x14ac:dyDescent="0.25">
      <c r="A28" s="347"/>
      <c r="B28" s="348"/>
      <c r="C28" s="348"/>
      <c r="D28" s="348"/>
      <c r="E28" s="348"/>
      <c r="F28" s="348"/>
      <c r="G28" s="348"/>
      <c r="H28" s="410"/>
      <c r="I28" s="410"/>
      <c r="J28" s="349"/>
      <c r="K28" s="410"/>
      <c r="L28" s="410"/>
      <c r="M28" s="410"/>
      <c r="N28" s="410"/>
      <c r="O28" s="410"/>
      <c r="P28" s="410"/>
      <c r="Q28" s="410"/>
      <c r="R28" s="410"/>
      <c r="S28" s="410"/>
      <c r="T28" s="410"/>
      <c r="U28" s="410"/>
      <c r="V28" s="410"/>
      <c r="W28" s="410"/>
      <c r="X28" s="352">
        <f t="shared" si="0"/>
        <v>0</v>
      </c>
      <c r="Y28" s="121" t="s">
        <v>449</v>
      </c>
      <c r="Z28" s="424">
        <v>100</v>
      </c>
      <c r="AA28" s="410"/>
      <c r="AB28" s="410"/>
      <c r="AC28" s="423"/>
      <c r="AD28" s="424">
        <f>Z28*X28/100</f>
        <v>0</v>
      </c>
      <c r="AE28" s="423"/>
      <c r="AF28" s="347"/>
      <c r="AG28" s="352"/>
      <c r="AH28" s="353">
        <f t="shared" si="3"/>
        <v>0</v>
      </c>
      <c r="AI28" s="428"/>
      <c r="AJ28" s="410"/>
      <c r="AK28" s="410"/>
      <c r="AL28" s="410"/>
      <c r="AM28" s="410"/>
      <c r="AN28" s="410"/>
      <c r="AO28" s="410"/>
      <c r="AP28" s="410"/>
      <c r="AQ28" s="352"/>
    </row>
    <row r="29" spans="1:48" ht="15" customHeight="1" x14ac:dyDescent="0.25">
      <c r="A29" s="347"/>
      <c r="B29" s="348"/>
      <c r="C29" s="348"/>
      <c r="D29" s="348"/>
      <c r="E29" s="348"/>
      <c r="F29" s="348"/>
      <c r="G29" s="348"/>
      <c r="H29" s="410"/>
      <c r="I29" s="410"/>
      <c r="J29" s="410"/>
      <c r="K29" s="349">
        <v>39.6</v>
      </c>
      <c r="L29" s="410"/>
      <c r="M29" s="410"/>
      <c r="N29" s="410"/>
      <c r="O29" s="410"/>
      <c r="P29" s="410"/>
      <c r="Q29" s="410"/>
      <c r="R29" s="410"/>
      <c r="S29" s="410"/>
      <c r="T29" s="410"/>
      <c r="U29" s="410"/>
      <c r="V29" s="410"/>
      <c r="W29" s="410"/>
      <c r="X29" s="352">
        <f t="shared" si="0"/>
        <v>39.6</v>
      </c>
      <c r="Y29" s="121" t="s">
        <v>450</v>
      </c>
      <c r="Z29" s="349">
        <v>100</v>
      </c>
      <c r="AA29" s="410"/>
      <c r="AB29" s="410"/>
      <c r="AC29" s="423"/>
      <c r="AD29" s="424">
        <f>Z29*X29/100</f>
        <v>39.6</v>
      </c>
      <c r="AE29" s="423"/>
      <c r="AF29" s="347"/>
      <c r="AG29" s="352"/>
      <c r="AH29" s="353">
        <f t="shared" si="3"/>
        <v>0</v>
      </c>
      <c r="AI29" s="428"/>
      <c r="AJ29" s="410"/>
      <c r="AK29" s="410"/>
      <c r="AL29" s="410"/>
      <c r="AM29" s="410"/>
      <c r="AN29" s="410"/>
      <c r="AO29" s="410"/>
      <c r="AP29" s="410"/>
      <c r="AQ29" s="352"/>
    </row>
    <row r="30" spans="1:48" ht="15" customHeight="1" x14ac:dyDescent="0.25">
      <c r="A30" s="347"/>
      <c r="B30" s="348"/>
      <c r="C30" s="348"/>
      <c r="D30" s="348"/>
      <c r="E30" s="348"/>
      <c r="F30" s="348"/>
      <c r="G30" s="348"/>
      <c r="H30" s="410"/>
      <c r="I30" s="410"/>
      <c r="J30" s="410"/>
      <c r="K30" s="410"/>
      <c r="L30" s="410"/>
      <c r="M30" s="410"/>
      <c r="N30" s="410"/>
      <c r="O30" s="410"/>
      <c r="P30" s="410"/>
      <c r="Q30" s="410"/>
      <c r="R30" s="410"/>
      <c r="S30" s="410"/>
      <c r="T30" s="410"/>
      <c r="U30" s="410"/>
      <c r="V30" s="410"/>
      <c r="W30" s="410"/>
      <c r="X30" s="352">
        <f t="shared" si="0"/>
        <v>0</v>
      </c>
      <c r="Y30" s="121" t="s">
        <v>451</v>
      </c>
      <c r="Z30" s="410">
        <v>100</v>
      </c>
      <c r="AA30" s="410"/>
      <c r="AB30" s="410"/>
      <c r="AC30" s="423"/>
      <c r="AD30" s="424">
        <f>Z30*X30/100</f>
        <v>0</v>
      </c>
      <c r="AE30" s="423"/>
      <c r="AF30" s="347"/>
      <c r="AG30" s="352"/>
      <c r="AH30" s="353">
        <f t="shared" si="3"/>
        <v>0</v>
      </c>
      <c r="AI30" s="428"/>
      <c r="AJ30" s="410"/>
      <c r="AK30" s="410"/>
      <c r="AL30" s="410"/>
      <c r="AM30" s="410"/>
      <c r="AN30" s="410"/>
      <c r="AO30" s="410"/>
      <c r="AP30" s="410"/>
      <c r="AQ30" s="352"/>
    </row>
    <row r="31" spans="1:48" s="444" customFormat="1" ht="15" customHeight="1" x14ac:dyDescent="0.3">
      <c r="A31" s="437"/>
      <c r="B31" s="348"/>
      <c r="C31" s="348"/>
      <c r="D31" s="348"/>
      <c r="E31" s="348"/>
      <c r="F31" s="348"/>
      <c r="G31" s="348"/>
      <c r="H31" s="410"/>
      <c r="I31" s="349">
        <f>-(O31+T31)*AA31%</f>
        <v>-386.70000000000005</v>
      </c>
      <c r="J31" s="410"/>
      <c r="K31" s="410"/>
      <c r="L31" s="410"/>
      <c r="M31" s="410"/>
      <c r="N31" s="410"/>
      <c r="O31" s="410">
        <f>(255.2+131.5)*46%</f>
        <v>177.88200000000001</v>
      </c>
      <c r="P31" s="410"/>
      <c r="Q31" s="410"/>
      <c r="R31" s="410"/>
      <c r="S31" s="410"/>
      <c r="T31" s="410">
        <f>(255.2+131.5)*54%</f>
        <v>208.81800000000001</v>
      </c>
      <c r="U31" s="350"/>
      <c r="V31" s="350"/>
      <c r="W31" s="350"/>
      <c r="X31" s="352">
        <f t="shared" si="0"/>
        <v>0</v>
      </c>
      <c r="Y31" s="438" t="s">
        <v>452</v>
      </c>
      <c r="Z31" s="439"/>
      <c r="AA31" s="350">
        <v>100</v>
      </c>
      <c r="AB31" s="350"/>
      <c r="AC31" s="426"/>
      <c r="AD31" s="440"/>
      <c r="AE31" s="426"/>
      <c r="AF31" s="441"/>
      <c r="AG31" s="442"/>
      <c r="AH31" s="443"/>
      <c r="AI31" s="439"/>
      <c r="AJ31" s="350"/>
      <c r="AK31" s="350"/>
      <c r="AL31" s="350"/>
      <c r="AM31" s="350"/>
      <c r="AN31" s="350"/>
      <c r="AO31" s="350"/>
      <c r="AP31" s="350"/>
      <c r="AQ31" s="442"/>
    </row>
    <row r="32" spans="1:48" ht="15" customHeight="1" x14ac:dyDescent="0.25">
      <c r="A32" s="348"/>
      <c r="B32" s="348"/>
      <c r="C32" s="445"/>
      <c r="D32" s="445"/>
      <c r="E32" s="445"/>
      <c r="F32" s="445"/>
      <c r="G32" s="445"/>
      <c r="H32" s="446"/>
      <c r="I32" s="447"/>
      <c r="J32" s="446"/>
      <c r="K32" s="446"/>
      <c r="L32" s="446"/>
      <c r="M32" s="446"/>
      <c r="N32" s="350"/>
      <c r="O32" s="447">
        <f>18.7*46%</f>
        <v>8.6020000000000003</v>
      </c>
      <c r="P32" s="446"/>
      <c r="Q32" s="446"/>
      <c r="R32" s="446"/>
      <c r="S32" s="446"/>
      <c r="T32" s="447">
        <f>18.7*54%</f>
        <v>10.098000000000001</v>
      </c>
      <c r="U32" s="446"/>
      <c r="V32" s="446"/>
      <c r="W32" s="446"/>
      <c r="X32" s="352">
        <f t="shared" si="0"/>
        <v>18.700000000000003</v>
      </c>
      <c r="Y32" s="438" t="s">
        <v>453</v>
      </c>
      <c r="Z32" s="430">
        <v>32</v>
      </c>
      <c r="AA32" s="349">
        <v>53</v>
      </c>
      <c r="AB32" s="350"/>
      <c r="AC32" s="426"/>
      <c r="AD32" s="424">
        <f>X32*Z32/100</f>
        <v>5.9840000000000009</v>
      </c>
      <c r="AE32" s="423"/>
      <c r="AF32" s="424">
        <f>X32*AB32/100</f>
        <v>0</v>
      </c>
      <c r="AG32" s="423"/>
      <c r="AH32" s="353">
        <f>SUM(AI32:AQ32)</f>
        <v>0</v>
      </c>
      <c r="AI32" s="428"/>
      <c r="AJ32" s="350"/>
      <c r="AK32" s="350"/>
      <c r="AL32" s="350"/>
      <c r="AM32" s="350"/>
      <c r="AN32" s="350"/>
      <c r="AO32" s="350"/>
      <c r="AP32" s="350"/>
      <c r="AQ32" s="352"/>
    </row>
    <row r="33" spans="1:44" ht="15" customHeight="1" x14ac:dyDescent="0.25">
      <c r="A33" s="348"/>
      <c r="B33" s="410"/>
      <c r="C33" s="349"/>
      <c r="D33" s="447"/>
      <c r="E33" s="446"/>
      <c r="F33" s="446"/>
      <c r="G33" s="446"/>
      <c r="H33" s="446"/>
      <c r="I33" s="447"/>
      <c r="J33" s="446"/>
      <c r="K33" s="446"/>
      <c r="L33" s="446"/>
      <c r="M33" s="446"/>
      <c r="N33" s="446"/>
      <c r="O33" s="447"/>
      <c r="P33" s="410"/>
      <c r="Q33" s="447"/>
      <c r="R33" s="447"/>
      <c r="S33" s="447"/>
      <c r="T33" s="447"/>
      <c r="U33" s="446"/>
      <c r="V33" s="446"/>
      <c r="W33" s="446"/>
      <c r="X33" s="352">
        <f t="shared" si="0"/>
        <v>0</v>
      </c>
      <c r="Y33" s="121" t="s">
        <v>454</v>
      </c>
      <c r="Z33" s="430"/>
      <c r="AA33" s="350"/>
      <c r="AB33" s="349"/>
      <c r="AC33" s="423"/>
      <c r="AD33" s="424">
        <f>X33*Z33/100</f>
        <v>0</v>
      </c>
      <c r="AE33" s="423"/>
      <c r="AF33" s="347">
        <f>X33*AB33/100</f>
        <v>0</v>
      </c>
      <c r="AG33" s="352"/>
      <c r="AH33" s="353">
        <f t="shared" si="3"/>
        <v>0</v>
      </c>
      <c r="AI33" s="428"/>
      <c r="AJ33" s="410"/>
      <c r="AK33" s="410"/>
      <c r="AL33" s="410"/>
      <c r="AM33" s="410"/>
      <c r="AN33" s="410"/>
      <c r="AO33" s="410"/>
      <c r="AP33" s="410"/>
      <c r="AQ33" s="352"/>
    </row>
    <row r="34" spans="1:44" ht="15" customHeight="1" x14ac:dyDescent="0.25">
      <c r="A34" s="348"/>
      <c r="B34" s="410"/>
      <c r="C34" s="446"/>
      <c r="D34" s="446"/>
      <c r="E34" s="446"/>
      <c r="F34" s="446"/>
      <c r="G34" s="446"/>
      <c r="H34" s="446"/>
      <c r="I34" s="446"/>
      <c r="J34" s="446"/>
      <c r="K34" s="446"/>
      <c r="L34" s="446"/>
      <c r="M34" s="446"/>
      <c r="N34" s="446"/>
      <c r="O34" s="446"/>
      <c r="P34" s="446"/>
      <c r="Q34" s="446"/>
      <c r="R34" s="446"/>
      <c r="S34" s="446"/>
      <c r="T34" s="446"/>
      <c r="U34" s="446"/>
      <c r="V34" s="446"/>
      <c r="W34" s="446"/>
      <c r="X34" s="352">
        <f t="shared" si="0"/>
        <v>0</v>
      </c>
      <c r="Y34" s="121" t="s">
        <v>455</v>
      </c>
      <c r="Z34" s="440"/>
      <c r="AA34" s="350"/>
      <c r="AB34" s="350"/>
      <c r="AC34" s="423"/>
      <c r="AD34" s="424">
        <f>X34*Z34/100</f>
        <v>0</v>
      </c>
      <c r="AE34" s="423"/>
      <c r="AF34" s="347">
        <f>X34*AB34</f>
        <v>0</v>
      </c>
      <c r="AG34" s="352"/>
      <c r="AH34" s="353">
        <f t="shared" si="3"/>
        <v>0</v>
      </c>
      <c r="AI34" s="428"/>
      <c r="AJ34" s="410"/>
      <c r="AK34" s="410"/>
      <c r="AL34" s="410"/>
      <c r="AM34" s="410"/>
      <c r="AN34" s="410"/>
      <c r="AO34" s="410"/>
      <c r="AP34" s="410"/>
      <c r="AQ34" s="352"/>
    </row>
    <row r="35" spans="1:44" ht="15" customHeight="1" x14ac:dyDescent="0.25">
      <c r="A35" s="348"/>
      <c r="B35" s="410"/>
      <c r="C35" s="446"/>
      <c r="D35" s="446"/>
      <c r="E35" s="448"/>
      <c r="F35" s="446"/>
      <c r="G35" s="446"/>
      <c r="H35" s="446"/>
      <c r="I35" s="446"/>
      <c r="J35" s="446"/>
      <c r="K35" s="446"/>
      <c r="L35" s="446"/>
      <c r="M35" s="446"/>
      <c r="N35" s="446"/>
      <c r="O35" s="446"/>
      <c r="P35" s="446"/>
      <c r="Q35" s="446"/>
      <c r="R35" s="446"/>
      <c r="S35" s="446"/>
      <c r="T35" s="446"/>
      <c r="U35" s="446"/>
      <c r="V35" s="446"/>
      <c r="W35" s="446"/>
      <c r="X35" s="352">
        <f t="shared" si="0"/>
        <v>0</v>
      </c>
      <c r="Y35" s="121" t="s">
        <v>456</v>
      </c>
      <c r="Z35" s="440"/>
      <c r="AA35" s="350"/>
      <c r="AB35" s="350"/>
      <c r="AC35" s="423"/>
      <c r="AD35" s="424">
        <f>X35*Z35/100</f>
        <v>0</v>
      </c>
      <c r="AE35" s="423"/>
      <c r="AF35" s="347">
        <f>X35*AB35</f>
        <v>0</v>
      </c>
      <c r="AG35" s="352"/>
      <c r="AH35" s="353">
        <f t="shared" si="3"/>
        <v>0</v>
      </c>
      <c r="AI35" s="428"/>
      <c r="AJ35" s="410"/>
      <c r="AK35" s="410"/>
      <c r="AL35" s="410"/>
      <c r="AM35" s="410"/>
      <c r="AN35" s="410"/>
      <c r="AO35" s="410"/>
      <c r="AP35" s="410"/>
      <c r="AQ35" s="352"/>
    </row>
    <row r="36" spans="1:44" ht="15" customHeight="1" x14ac:dyDescent="0.25">
      <c r="A36" s="348"/>
      <c r="B36" s="410"/>
      <c r="C36" s="446"/>
      <c r="D36" s="446"/>
      <c r="E36" s="447"/>
      <c r="F36" s="446"/>
      <c r="G36" s="446"/>
      <c r="H36" s="446"/>
      <c r="I36" s="446"/>
      <c r="J36" s="446"/>
      <c r="K36" s="446"/>
      <c r="L36" s="446"/>
      <c r="M36" s="446"/>
      <c r="N36" s="446"/>
      <c r="O36" s="446"/>
      <c r="P36" s="447"/>
      <c r="Q36" s="446"/>
      <c r="R36" s="446"/>
      <c r="S36" s="446"/>
      <c r="T36" s="446"/>
      <c r="U36" s="446"/>
      <c r="V36" s="446"/>
      <c r="W36" s="446"/>
      <c r="X36" s="352">
        <f t="shared" si="0"/>
        <v>0</v>
      </c>
      <c r="Y36" s="121" t="s">
        <v>457</v>
      </c>
      <c r="Z36" s="440"/>
      <c r="AA36" s="350"/>
      <c r="AB36" s="349"/>
      <c r="AC36" s="423"/>
      <c r="AD36" s="424"/>
      <c r="AE36" s="423"/>
      <c r="AF36" s="347">
        <f>X36*AB36/100</f>
        <v>0</v>
      </c>
      <c r="AG36" s="352"/>
      <c r="AH36" s="353">
        <f t="shared" si="3"/>
        <v>0</v>
      </c>
      <c r="AI36" s="428"/>
      <c r="AJ36" s="410"/>
      <c r="AK36" s="410"/>
      <c r="AL36" s="410"/>
      <c r="AM36" s="410"/>
      <c r="AN36" s="410"/>
      <c r="AO36" s="410"/>
      <c r="AP36" s="410"/>
      <c r="AQ36" s="352"/>
    </row>
    <row r="37" spans="1:44" s="444" customFormat="1" ht="15" customHeight="1" x14ac:dyDescent="0.3">
      <c r="A37" s="449"/>
      <c r="B37" s="350"/>
      <c r="C37" s="350"/>
      <c r="D37" s="350"/>
      <c r="E37" s="350"/>
      <c r="F37" s="350"/>
      <c r="G37" s="350"/>
      <c r="H37" s="350"/>
      <c r="I37" s="350"/>
      <c r="J37" s="350"/>
      <c r="K37" s="350"/>
      <c r="L37" s="350"/>
      <c r="M37" s="350"/>
      <c r="N37" s="349">
        <f>AF37-AE37</f>
        <v>0</v>
      </c>
      <c r="O37" s="350"/>
      <c r="P37" s="350"/>
      <c r="Q37" s="350"/>
      <c r="R37" s="350"/>
      <c r="S37" s="350"/>
      <c r="T37" s="350"/>
      <c r="U37" s="350"/>
      <c r="V37" s="350"/>
      <c r="W37" s="350"/>
      <c r="X37" s="352">
        <f t="shared" si="0"/>
        <v>0</v>
      </c>
      <c r="Y37" s="438" t="s">
        <v>458</v>
      </c>
      <c r="Z37" s="424"/>
      <c r="AA37" s="410"/>
      <c r="AB37" s="410"/>
      <c r="AC37" s="423"/>
      <c r="AD37" s="440">
        <f>-AE37/$D$2%</f>
        <v>0</v>
      </c>
      <c r="AE37" s="450"/>
      <c r="AF37" s="451">
        <f>AE37*AB37%</f>
        <v>0</v>
      </c>
      <c r="AG37" s="442"/>
      <c r="AH37" s="443"/>
      <c r="AI37" s="439"/>
      <c r="AJ37" s="439"/>
      <c r="AK37" s="350"/>
      <c r="AL37" s="350"/>
      <c r="AM37" s="350"/>
      <c r="AN37" s="350"/>
      <c r="AO37" s="350"/>
      <c r="AP37" s="350"/>
      <c r="AQ37" s="442"/>
    </row>
    <row r="38" spans="1:44" ht="15" customHeight="1" x14ac:dyDescent="0.25">
      <c r="A38" s="449"/>
      <c r="B38" s="350"/>
      <c r="C38" s="350"/>
      <c r="D38" s="350"/>
      <c r="E38" s="350"/>
      <c r="F38" s="350"/>
      <c r="G38" s="350"/>
      <c r="H38" s="350"/>
      <c r="I38" s="350"/>
      <c r="J38" s="350"/>
      <c r="K38" s="350"/>
      <c r="L38" s="350"/>
      <c r="M38" s="350"/>
      <c r="N38" s="350"/>
      <c r="O38" s="350"/>
      <c r="P38" s="350"/>
      <c r="Q38" s="350"/>
      <c r="R38" s="350"/>
      <c r="S38" s="350"/>
      <c r="T38" s="350"/>
      <c r="U38" s="350"/>
      <c r="V38" s="350"/>
      <c r="W38" s="350"/>
      <c r="X38" s="352">
        <f t="shared" si="0"/>
        <v>0</v>
      </c>
      <c r="Y38" s="438" t="s">
        <v>459</v>
      </c>
      <c r="Z38" s="424"/>
      <c r="AA38" s="410"/>
      <c r="AB38" s="410"/>
      <c r="AC38" s="423"/>
      <c r="AD38" s="440">
        <f>-AE38/$D$2%</f>
        <v>0</v>
      </c>
      <c r="AE38" s="423"/>
      <c r="AF38" s="424">
        <f>AE38*AB38%</f>
        <v>0</v>
      </c>
      <c r="AG38" s="442"/>
      <c r="AH38" s="443"/>
      <c r="AI38" s="439"/>
      <c r="AJ38" s="439"/>
      <c r="AK38" s="350"/>
      <c r="AL38" s="350"/>
      <c r="AM38" s="350"/>
      <c r="AN38" s="350"/>
      <c r="AO38" s="350"/>
      <c r="AP38" s="350"/>
      <c r="AQ38" s="442"/>
    </row>
    <row r="39" spans="1:44" ht="15" customHeight="1" x14ac:dyDescent="0.25">
      <c r="A39" s="348"/>
      <c r="B39" s="410"/>
      <c r="C39" s="446"/>
      <c r="D39" s="446"/>
      <c r="E39" s="446"/>
      <c r="F39" s="446"/>
      <c r="G39" s="446"/>
      <c r="H39" s="446"/>
      <c r="I39" s="446"/>
      <c r="J39" s="446"/>
      <c r="K39" s="446"/>
      <c r="L39" s="446"/>
      <c r="M39" s="446"/>
      <c r="N39" s="446"/>
      <c r="O39" s="446"/>
      <c r="P39" s="446"/>
      <c r="Q39" s="446"/>
      <c r="R39" s="446"/>
      <c r="S39" s="446"/>
      <c r="T39" s="446"/>
      <c r="U39" s="446"/>
      <c r="V39" s="446"/>
      <c r="W39" s="446"/>
      <c r="X39" s="352">
        <f t="shared" si="0"/>
        <v>0</v>
      </c>
      <c r="Y39" s="121" t="s">
        <v>460</v>
      </c>
      <c r="Z39" s="440"/>
      <c r="AA39" s="350"/>
      <c r="AB39" s="350"/>
      <c r="AC39" s="427">
        <f>100-21.69</f>
        <v>78.31</v>
      </c>
      <c r="AD39" s="424"/>
      <c r="AE39" s="423"/>
      <c r="AF39" s="347">
        <f>-SUM(AF33:AF38)</f>
        <v>0</v>
      </c>
      <c r="AG39" s="352">
        <f>-AF39*AC39/100</f>
        <v>0</v>
      </c>
      <c r="AH39" s="353">
        <f>SUM(AI39:AQ39)</f>
        <v>0</v>
      </c>
      <c r="AI39" s="452">
        <f>AG39*65.2%</f>
        <v>0</v>
      </c>
      <c r="AJ39" s="452">
        <f>AG39*9.9%</f>
        <v>0</v>
      </c>
      <c r="AK39" s="349">
        <f>AG39*13.3%</f>
        <v>0</v>
      </c>
      <c r="AL39" s="349">
        <f>AG39*7%</f>
        <v>0</v>
      </c>
      <c r="AM39" s="349">
        <f>AG39*0%</f>
        <v>0</v>
      </c>
      <c r="AN39" s="349">
        <f>AG39*3.2%</f>
        <v>0</v>
      </c>
      <c r="AO39" s="349">
        <f>AG39*1.5%</f>
        <v>0</v>
      </c>
      <c r="AP39" s="349"/>
      <c r="AQ39" s="352"/>
      <c r="AR39" s="453"/>
    </row>
    <row r="40" spans="1:44" ht="15" customHeight="1" x14ac:dyDescent="0.25">
      <c r="A40" s="348"/>
      <c r="B40" s="410"/>
      <c r="C40" s="446"/>
      <c r="D40" s="446"/>
      <c r="E40" s="447"/>
      <c r="F40" s="446"/>
      <c r="G40" s="446"/>
      <c r="H40" s="446"/>
      <c r="I40" s="446"/>
      <c r="J40" s="446"/>
      <c r="K40" s="446"/>
      <c r="L40" s="446"/>
      <c r="M40" s="446"/>
      <c r="N40" s="446"/>
      <c r="O40" s="446"/>
      <c r="P40" s="446"/>
      <c r="Q40" s="447"/>
      <c r="R40" s="454"/>
      <c r="S40" s="447"/>
      <c r="T40" s="446"/>
      <c r="U40" s="447"/>
      <c r="V40" s="446"/>
      <c r="W40" s="447"/>
      <c r="X40" s="352">
        <f t="shared" si="0"/>
        <v>0</v>
      </c>
      <c r="Y40" s="121" t="s">
        <v>461</v>
      </c>
      <c r="Z40" s="430"/>
      <c r="AA40" s="350"/>
      <c r="AB40" s="349"/>
      <c r="AC40" s="426"/>
      <c r="AD40" s="424">
        <f>X40*Z40/100</f>
        <v>0</v>
      </c>
      <c r="AE40" s="423"/>
      <c r="AF40" s="347">
        <f>X40*AB40/100</f>
        <v>0</v>
      </c>
      <c r="AG40" s="352"/>
      <c r="AH40" s="353">
        <f t="shared" si="3"/>
        <v>0</v>
      </c>
      <c r="AI40" s="439"/>
      <c r="AJ40" s="350"/>
      <c r="AK40" s="350"/>
      <c r="AL40" s="350"/>
      <c r="AM40" s="350"/>
      <c r="AN40" s="350"/>
      <c r="AO40" s="350"/>
      <c r="AP40" s="410"/>
      <c r="AQ40" s="352"/>
    </row>
    <row r="41" spans="1:44" ht="15" customHeight="1" x14ac:dyDescent="0.25">
      <c r="A41" s="348"/>
      <c r="B41" s="410"/>
      <c r="C41" s="446"/>
      <c r="D41" s="446"/>
      <c r="E41" s="447"/>
      <c r="F41" s="446"/>
      <c r="G41" s="446"/>
      <c r="H41" s="446"/>
      <c r="I41" s="446"/>
      <c r="J41" s="446"/>
      <c r="K41" s="446"/>
      <c r="L41" s="446"/>
      <c r="M41" s="446"/>
      <c r="N41" s="446"/>
      <c r="O41" s="446"/>
      <c r="P41" s="446"/>
      <c r="Q41" s="446"/>
      <c r="R41" s="446"/>
      <c r="S41" s="447"/>
      <c r="T41" s="446"/>
      <c r="U41" s="447"/>
      <c r="V41" s="446"/>
      <c r="W41" s="447"/>
      <c r="X41" s="352">
        <f t="shared" si="0"/>
        <v>0</v>
      </c>
      <c r="Y41" s="121" t="s">
        <v>462</v>
      </c>
      <c r="Z41" s="440"/>
      <c r="AA41" s="350"/>
      <c r="AB41" s="349"/>
      <c r="AC41" s="426"/>
      <c r="AD41" s="424">
        <f>X41*Z41/100</f>
        <v>0</v>
      </c>
      <c r="AE41" s="423"/>
      <c r="AF41" s="347">
        <f>X41*AB41/100</f>
        <v>0</v>
      </c>
      <c r="AG41" s="352"/>
      <c r="AH41" s="353">
        <f t="shared" si="3"/>
        <v>0</v>
      </c>
      <c r="AI41" s="439"/>
      <c r="AJ41" s="350"/>
      <c r="AK41" s="350"/>
      <c r="AL41" s="350"/>
      <c r="AM41" s="350"/>
      <c r="AN41" s="350"/>
      <c r="AO41" s="350"/>
      <c r="AP41" s="410"/>
      <c r="AQ41" s="352"/>
    </row>
    <row r="42" spans="1:44" ht="15" customHeight="1" x14ac:dyDescent="0.25">
      <c r="A42" s="348"/>
      <c r="B42" s="410"/>
      <c r="C42" s="446"/>
      <c r="D42" s="446"/>
      <c r="E42" s="446"/>
      <c r="F42" s="446"/>
      <c r="G42" s="446"/>
      <c r="H42" s="446"/>
      <c r="I42" s="446"/>
      <c r="J42" s="446"/>
      <c r="K42" s="446"/>
      <c r="L42" s="446"/>
      <c r="M42" s="446"/>
      <c r="N42" s="446"/>
      <c r="O42" s="446"/>
      <c r="P42" s="446"/>
      <c r="Q42" s="446"/>
      <c r="R42" s="446"/>
      <c r="S42" s="446"/>
      <c r="T42" s="446"/>
      <c r="U42" s="447"/>
      <c r="V42" s="446"/>
      <c r="W42" s="447"/>
      <c r="X42" s="352">
        <f t="shared" si="0"/>
        <v>0</v>
      </c>
      <c r="Y42" s="121" t="s">
        <v>463</v>
      </c>
      <c r="Z42" s="440"/>
      <c r="AA42" s="350"/>
      <c r="AB42" s="350"/>
      <c r="AC42" s="426"/>
      <c r="AD42" s="424">
        <f>X42*Z42/100</f>
        <v>0</v>
      </c>
      <c r="AE42" s="423"/>
      <c r="AF42" s="347">
        <f>X42*AB42/100</f>
        <v>0</v>
      </c>
      <c r="AG42" s="352"/>
      <c r="AH42" s="353">
        <f t="shared" si="3"/>
        <v>0</v>
      </c>
      <c r="AI42" s="439"/>
      <c r="AJ42" s="350"/>
      <c r="AK42" s="350"/>
      <c r="AL42" s="350"/>
      <c r="AM42" s="350"/>
      <c r="AN42" s="350"/>
      <c r="AO42" s="350"/>
      <c r="AP42" s="410"/>
      <c r="AQ42" s="352"/>
    </row>
    <row r="43" spans="1:44" ht="15" customHeight="1" x14ac:dyDescent="0.25">
      <c r="A43" s="348"/>
      <c r="B43" s="410"/>
      <c r="C43" s="446"/>
      <c r="D43" s="446"/>
      <c r="E43" s="446"/>
      <c r="F43" s="446"/>
      <c r="G43" s="446"/>
      <c r="H43" s="446"/>
      <c r="I43" s="446"/>
      <c r="J43" s="446"/>
      <c r="K43" s="446"/>
      <c r="L43" s="446"/>
      <c r="M43" s="446"/>
      <c r="N43" s="446"/>
      <c r="O43" s="446"/>
      <c r="P43" s="446"/>
      <c r="Q43" s="446"/>
      <c r="R43" s="446"/>
      <c r="S43" s="446"/>
      <c r="T43" s="446"/>
      <c r="U43" s="446"/>
      <c r="V43" s="446"/>
      <c r="W43" s="446"/>
      <c r="X43" s="352">
        <f t="shared" si="0"/>
        <v>0</v>
      </c>
      <c r="Y43" s="121" t="s">
        <v>464</v>
      </c>
      <c r="Z43" s="440"/>
      <c r="AA43" s="350"/>
      <c r="AB43" s="350"/>
      <c r="AC43" s="427">
        <f>100-21.69</f>
        <v>78.31</v>
      </c>
      <c r="AD43" s="424"/>
      <c r="AE43" s="423"/>
      <c r="AF43" s="347">
        <f>-SUM(AF40:AF42)</f>
        <v>0</v>
      </c>
      <c r="AG43" s="352">
        <f>-AF43*AC43/100</f>
        <v>0</v>
      </c>
      <c r="AH43" s="353">
        <f t="shared" si="3"/>
        <v>0</v>
      </c>
      <c r="AI43" s="452">
        <f>AG43*65.2%</f>
        <v>0</v>
      </c>
      <c r="AJ43" s="452">
        <f>AG43*9.9%</f>
        <v>0</v>
      </c>
      <c r="AK43" s="349">
        <f>AG43*13.3%</f>
        <v>0</v>
      </c>
      <c r="AL43" s="349">
        <f>AG43*7%</f>
        <v>0</v>
      </c>
      <c r="AM43" s="349">
        <f>AG43*0%</f>
        <v>0</v>
      </c>
      <c r="AN43" s="349">
        <f>AG43*3.2%</f>
        <v>0</v>
      </c>
      <c r="AO43" s="349">
        <f>AG43*1.5%</f>
        <v>0</v>
      </c>
      <c r="AP43" s="349"/>
      <c r="AQ43" s="352"/>
    </row>
    <row r="44" spans="1:44" ht="15" customHeight="1" x14ac:dyDescent="0.25">
      <c r="A44" s="348"/>
      <c r="B44" s="349"/>
      <c r="C44" s="455"/>
      <c r="D44" s="446"/>
      <c r="E44" s="455"/>
      <c r="F44" s="446"/>
      <c r="G44" s="446"/>
      <c r="H44" s="446"/>
      <c r="I44" s="447"/>
      <c r="J44" s="446"/>
      <c r="K44" s="446"/>
      <c r="L44" s="446"/>
      <c r="M44" s="446"/>
      <c r="N44" s="446"/>
      <c r="O44" s="447"/>
      <c r="P44" s="446"/>
      <c r="Q44" s="455"/>
      <c r="R44" s="447"/>
      <c r="S44" s="447"/>
      <c r="T44" s="447"/>
      <c r="U44" s="447"/>
      <c r="V44" s="446"/>
      <c r="W44" s="447"/>
      <c r="X44" s="352">
        <f t="shared" si="0"/>
        <v>0</v>
      </c>
      <c r="Y44" s="121" t="s">
        <v>465</v>
      </c>
      <c r="Z44" s="430"/>
      <c r="AA44" s="350"/>
      <c r="AB44" s="349"/>
      <c r="AC44" s="426"/>
      <c r="AD44" s="347">
        <f>X44*Z44/100</f>
        <v>0</v>
      </c>
      <c r="AE44" s="352"/>
      <c r="AF44" s="347">
        <f t="shared" ref="AF44:AF51" si="5">X44*AB44/100</f>
        <v>0</v>
      </c>
      <c r="AG44" s="352"/>
      <c r="AH44" s="353">
        <f t="shared" si="3"/>
        <v>0</v>
      </c>
      <c r="AI44" s="428"/>
      <c r="AJ44" s="410"/>
      <c r="AK44" s="410"/>
      <c r="AL44" s="410"/>
      <c r="AM44" s="410"/>
      <c r="AN44" s="410"/>
      <c r="AO44" s="410"/>
      <c r="AP44" s="410"/>
      <c r="AQ44" s="352"/>
    </row>
    <row r="45" spans="1:44" ht="15" customHeight="1" x14ac:dyDescent="0.25">
      <c r="A45" s="348"/>
      <c r="B45" s="410"/>
      <c r="C45" s="446"/>
      <c r="D45" s="446"/>
      <c r="E45" s="446"/>
      <c r="F45" s="446"/>
      <c r="G45" s="446"/>
      <c r="H45" s="446"/>
      <c r="I45" s="447">
        <v>740.5</v>
      </c>
      <c r="J45" s="446"/>
      <c r="K45" s="446"/>
      <c r="L45" s="446"/>
      <c r="M45" s="446"/>
      <c r="N45" s="446"/>
      <c r="O45" s="447">
        <f>32*46%</f>
        <v>14.72</v>
      </c>
      <c r="P45" s="446"/>
      <c r="Q45" s="446"/>
      <c r="R45" s="446"/>
      <c r="S45" s="447"/>
      <c r="T45" s="447">
        <f>32*54%</f>
        <v>17.28</v>
      </c>
      <c r="U45" s="446"/>
      <c r="V45" s="446"/>
      <c r="W45" s="446"/>
      <c r="X45" s="352">
        <f t="shared" si="0"/>
        <v>772.5</v>
      </c>
      <c r="Y45" s="121" t="s">
        <v>466</v>
      </c>
      <c r="Z45" s="430">
        <v>40.6</v>
      </c>
      <c r="AA45" s="350"/>
      <c r="AB45" s="349">
        <v>53.2</v>
      </c>
      <c r="AC45" s="426"/>
      <c r="AD45" s="347">
        <f>X45*Z45/100</f>
        <v>313.63499999999999</v>
      </c>
      <c r="AE45" s="352"/>
      <c r="AF45" s="347">
        <f t="shared" si="5"/>
        <v>410.97</v>
      </c>
      <c r="AG45" s="352"/>
      <c r="AH45" s="353">
        <f t="shared" si="3"/>
        <v>0</v>
      </c>
      <c r="AI45" s="428"/>
      <c r="AJ45" s="410"/>
      <c r="AK45" s="410"/>
      <c r="AL45" s="410"/>
      <c r="AM45" s="410"/>
      <c r="AN45" s="410"/>
      <c r="AO45" s="410"/>
      <c r="AP45" s="410"/>
      <c r="AQ45" s="352"/>
    </row>
    <row r="46" spans="1:44" ht="15" customHeight="1" x14ac:dyDescent="0.25">
      <c r="A46" s="348"/>
      <c r="B46" s="348"/>
      <c r="C46" s="446"/>
      <c r="D46" s="446"/>
      <c r="E46" s="446"/>
      <c r="F46" s="446"/>
      <c r="G46" s="446"/>
      <c r="H46" s="446"/>
      <c r="I46" s="447"/>
      <c r="J46" s="446"/>
      <c r="K46" s="446"/>
      <c r="L46" s="446"/>
      <c r="M46" s="446"/>
      <c r="N46" s="446"/>
      <c r="O46" s="446"/>
      <c r="P46" s="446"/>
      <c r="Q46" s="446"/>
      <c r="R46" s="446"/>
      <c r="S46" s="448"/>
      <c r="T46" s="446"/>
      <c r="U46" s="446"/>
      <c r="V46" s="446"/>
      <c r="W46" s="446"/>
      <c r="X46" s="352">
        <f t="shared" si="0"/>
        <v>0</v>
      </c>
      <c r="Y46" s="121" t="s">
        <v>467</v>
      </c>
      <c r="Z46" s="430"/>
      <c r="AA46" s="350"/>
      <c r="AB46" s="349"/>
      <c r="AC46" s="426"/>
      <c r="AD46" s="347">
        <f>X46*Z46/100</f>
        <v>0</v>
      </c>
      <c r="AE46" s="352"/>
      <c r="AF46" s="347">
        <f t="shared" si="5"/>
        <v>0</v>
      </c>
      <c r="AG46" s="352"/>
      <c r="AH46" s="353">
        <f t="shared" si="3"/>
        <v>0</v>
      </c>
      <c r="AI46" s="428"/>
      <c r="AJ46" s="410"/>
      <c r="AK46" s="410"/>
      <c r="AL46" s="410"/>
      <c r="AM46" s="410"/>
      <c r="AN46" s="410"/>
      <c r="AO46" s="410"/>
      <c r="AP46" s="410"/>
      <c r="AQ46" s="352"/>
    </row>
    <row r="47" spans="1:44" ht="15" customHeight="1" x14ac:dyDescent="0.25">
      <c r="A47" s="348"/>
      <c r="B47" s="348"/>
      <c r="C47" s="446"/>
      <c r="D47" s="447"/>
      <c r="E47" s="447"/>
      <c r="F47" s="446"/>
      <c r="G47" s="446"/>
      <c r="H47" s="446"/>
      <c r="I47" s="447">
        <v>380.2</v>
      </c>
      <c r="J47" s="446"/>
      <c r="K47" s="446"/>
      <c r="L47" s="446"/>
      <c r="M47" s="446"/>
      <c r="N47" s="446"/>
      <c r="O47" s="447">
        <f>3.6*46%</f>
        <v>1.6560000000000001</v>
      </c>
      <c r="P47" s="447"/>
      <c r="Q47" s="447">
        <v>15.8</v>
      </c>
      <c r="R47" s="447"/>
      <c r="S47" s="447">
        <v>28.1</v>
      </c>
      <c r="T47" s="447">
        <f>3.6*54%</f>
        <v>1.9440000000000002</v>
      </c>
      <c r="U47" s="446"/>
      <c r="V47" s="446"/>
      <c r="W47" s="446"/>
      <c r="X47" s="352">
        <f t="shared" si="0"/>
        <v>427.70000000000005</v>
      </c>
      <c r="Y47" s="121" t="s">
        <v>468</v>
      </c>
      <c r="Z47" s="440"/>
      <c r="AA47" s="350"/>
      <c r="AB47" s="349">
        <v>101.1</v>
      </c>
      <c r="AC47" s="426"/>
      <c r="AD47" s="347">
        <f>X47*Z47/100</f>
        <v>0</v>
      </c>
      <c r="AE47" s="352"/>
      <c r="AF47" s="347">
        <f t="shared" si="5"/>
        <v>432.40469999999999</v>
      </c>
      <c r="AG47" s="352"/>
      <c r="AH47" s="353">
        <f t="shared" si="3"/>
        <v>0</v>
      </c>
      <c r="AI47" s="428"/>
      <c r="AJ47" s="410"/>
      <c r="AK47" s="410"/>
      <c r="AL47" s="410"/>
      <c r="AM47" s="410"/>
      <c r="AN47" s="410"/>
      <c r="AO47" s="410"/>
      <c r="AP47" s="410"/>
      <c r="AQ47" s="352"/>
    </row>
    <row r="48" spans="1:44" s="444" customFormat="1" ht="15" customHeight="1" x14ac:dyDescent="0.3">
      <c r="A48" s="449"/>
      <c r="B48" s="449"/>
      <c r="C48" s="445"/>
      <c r="D48" s="445"/>
      <c r="E48" s="445"/>
      <c r="F48" s="445"/>
      <c r="G48" s="445"/>
      <c r="H48" s="445"/>
      <c r="I48" s="446"/>
      <c r="J48" s="446"/>
      <c r="K48" s="445"/>
      <c r="L48" s="445"/>
      <c r="M48" s="445"/>
      <c r="N48" s="349">
        <f>AF48-AE48</f>
        <v>7.7560000000000002</v>
      </c>
      <c r="O48" s="446"/>
      <c r="P48" s="446"/>
      <c r="Q48" s="446"/>
      <c r="R48" s="446"/>
      <c r="S48" s="446"/>
      <c r="T48" s="446"/>
      <c r="U48" s="446"/>
      <c r="V48" s="446"/>
      <c r="W48" s="446"/>
      <c r="X48" s="352">
        <f t="shared" si="0"/>
        <v>7.7560000000000002</v>
      </c>
      <c r="Y48" s="121" t="s">
        <v>469</v>
      </c>
      <c r="Z48" s="424"/>
      <c r="AA48" s="410"/>
      <c r="AB48" s="349">
        <v>487.8</v>
      </c>
      <c r="AC48" s="423"/>
      <c r="AD48" s="440">
        <f>-AE48/$D$2%</f>
        <v>-2.1774632553075666</v>
      </c>
      <c r="AE48" s="427">
        <v>2</v>
      </c>
      <c r="AF48" s="424">
        <f>AE48*AB48%</f>
        <v>9.7560000000000002</v>
      </c>
      <c r="AG48" s="426"/>
      <c r="AH48" s="443"/>
      <c r="AI48" s="439"/>
      <c r="AJ48" s="350"/>
      <c r="AK48" s="350"/>
      <c r="AL48" s="350"/>
      <c r="AM48" s="350"/>
      <c r="AN48" s="350"/>
      <c r="AO48" s="350"/>
      <c r="AP48" s="350"/>
      <c r="AQ48" s="442"/>
    </row>
    <row r="49" spans="1:43" s="444" customFormat="1" ht="15" customHeight="1" x14ac:dyDescent="0.3">
      <c r="A49" s="449"/>
      <c r="B49" s="449"/>
      <c r="C49" s="445"/>
      <c r="D49" s="445"/>
      <c r="E49" s="445"/>
      <c r="F49" s="445"/>
      <c r="G49" s="445"/>
      <c r="H49" s="445"/>
      <c r="I49" s="446"/>
      <c r="J49" s="446"/>
      <c r="K49" s="445"/>
      <c r="L49" s="445"/>
      <c r="M49" s="445"/>
      <c r="N49" s="410"/>
      <c r="O49" s="446"/>
      <c r="P49" s="446"/>
      <c r="Q49" s="446"/>
      <c r="R49" s="446"/>
      <c r="S49" s="446"/>
      <c r="T49" s="446"/>
      <c r="U49" s="446"/>
      <c r="V49" s="446"/>
      <c r="W49" s="446"/>
      <c r="X49" s="352">
        <f t="shared" si="0"/>
        <v>0</v>
      </c>
      <c r="Y49" s="121" t="s">
        <v>470</v>
      </c>
      <c r="Z49" s="424"/>
      <c r="AA49" s="410"/>
      <c r="AB49" s="349">
        <v>100.2</v>
      </c>
      <c r="AC49" s="423"/>
      <c r="AD49" s="440">
        <f>-AE49/$D$2%</f>
        <v>0</v>
      </c>
      <c r="AE49" s="427"/>
      <c r="AF49" s="440">
        <f>AE49*AB49%</f>
        <v>0</v>
      </c>
      <c r="AG49" s="426"/>
      <c r="AH49" s="443"/>
      <c r="AI49" s="439"/>
      <c r="AJ49" s="350"/>
      <c r="AK49" s="350"/>
      <c r="AL49" s="350"/>
      <c r="AM49" s="350"/>
      <c r="AN49" s="350"/>
      <c r="AO49" s="350"/>
      <c r="AP49" s="350"/>
      <c r="AQ49" s="442"/>
    </row>
    <row r="50" spans="1:43" ht="15" customHeight="1" x14ac:dyDescent="0.25">
      <c r="A50" s="348"/>
      <c r="B50" s="348"/>
      <c r="C50" s="445"/>
      <c r="D50" s="445"/>
      <c r="E50" s="445"/>
      <c r="F50" s="445"/>
      <c r="G50" s="445"/>
      <c r="H50" s="445"/>
      <c r="I50" s="445"/>
      <c r="J50" s="445"/>
      <c r="K50" s="445"/>
      <c r="L50" s="447">
        <v>27.6</v>
      </c>
      <c r="M50" s="445"/>
      <c r="N50" s="350"/>
      <c r="O50" s="446"/>
      <c r="P50" s="446"/>
      <c r="Q50" s="446"/>
      <c r="R50" s="446"/>
      <c r="S50" s="446"/>
      <c r="T50" s="446"/>
      <c r="U50" s="446"/>
      <c r="V50" s="446"/>
      <c r="W50" s="446"/>
      <c r="X50" s="352">
        <f t="shared" si="0"/>
        <v>27.6</v>
      </c>
      <c r="Y50" s="456" t="s">
        <v>471</v>
      </c>
      <c r="Z50" s="440"/>
      <c r="AA50" s="350"/>
      <c r="AB50" s="349">
        <v>100</v>
      </c>
      <c r="AC50" s="426"/>
      <c r="AD50" s="347"/>
      <c r="AE50" s="352"/>
      <c r="AF50" s="347">
        <f t="shared" si="5"/>
        <v>27.6</v>
      </c>
      <c r="AG50" s="352"/>
      <c r="AH50" s="353">
        <f t="shared" si="3"/>
        <v>0</v>
      </c>
      <c r="AI50" s="428"/>
      <c r="AJ50" s="410"/>
      <c r="AK50" s="410"/>
      <c r="AL50" s="410"/>
      <c r="AM50" s="410"/>
      <c r="AN50" s="410"/>
      <c r="AO50" s="410"/>
      <c r="AP50" s="410"/>
      <c r="AQ50" s="352"/>
    </row>
    <row r="51" spans="1:43" ht="15" customHeight="1" x14ac:dyDescent="0.25">
      <c r="A51" s="410"/>
      <c r="B51" s="349"/>
      <c r="C51" s="446"/>
      <c r="D51" s="446"/>
      <c r="E51" s="447"/>
      <c r="F51" s="446"/>
      <c r="G51" s="446"/>
      <c r="H51" s="446"/>
      <c r="I51" s="349">
        <v>1785.5</v>
      </c>
      <c r="J51" s="446"/>
      <c r="K51" s="446"/>
      <c r="L51" s="446"/>
      <c r="M51" s="446"/>
      <c r="N51" s="350"/>
      <c r="O51" s="446"/>
      <c r="P51" s="446"/>
      <c r="Q51" s="446"/>
      <c r="R51" s="447"/>
      <c r="S51" s="447"/>
      <c r="T51" s="446"/>
      <c r="U51" s="447"/>
      <c r="V51" s="446"/>
      <c r="W51" s="447"/>
      <c r="X51" s="352">
        <f t="shared" si="0"/>
        <v>1785.5</v>
      </c>
      <c r="Y51" s="121" t="s">
        <v>472</v>
      </c>
      <c r="Z51" s="430">
        <v>42.6</v>
      </c>
      <c r="AA51" s="350"/>
      <c r="AB51" s="349">
        <v>47.7</v>
      </c>
      <c r="AC51" s="426"/>
      <c r="AD51" s="347">
        <f>X51*Z51/100</f>
        <v>760.62300000000005</v>
      </c>
      <c r="AE51" s="352"/>
      <c r="AF51" s="347">
        <f t="shared" si="5"/>
        <v>851.68350000000009</v>
      </c>
      <c r="AG51" s="352"/>
      <c r="AH51" s="353">
        <f t="shared" si="3"/>
        <v>0</v>
      </c>
      <c r="AI51" s="428"/>
      <c r="AJ51" s="410"/>
      <c r="AK51" s="410"/>
      <c r="AL51" s="410"/>
      <c r="AM51" s="410"/>
      <c r="AN51" s="410"/>
      <c r="AO51" s="410"/>
      <c r="AP51" s="410"/>
      <c r="AQ51" s="352"/>
    </row>
    <row r="52" spans="1:43" ht="15" customHeight="1" x14ac:dyDescent="0.25">
      <c r="A52" s="348"/>
      <c r="B52" s="348"/>
      <c r="C52" s="445"/>
      <c r="D52" s="445"/>
      <c r="E52" s="445"/>
      <c r="F52" s="445"/>
      <c r="G52" s="445"/>
      <c r="H52" s="445"/>
      <c r="I52" s="445"/>
      <c r="J52" s="445"/>
      <c r="K52" s="445"/>
      <c r="L52" s="445"/>
      <c r="M52" s="445"/>
      <c r="N52" s="350"/>
      <c r="O52" s="446"/>
      <c r="P52" s="446"/>
      <c r="Q52" s="446"/>
      <c r="R52" s="446"/>
      <c r="S52" s="446"/>
      <c r="T52" s="446"/>
      <c r="U52" s="446"/>
      <c r="V52" s="446"/>
      <c r="W52" s="446"/>
      <c r="X52" s="352">
        <f t="shared" si="0"/>
        <v>0</v>
      </c>
      <c r="Y52" s="121" t="s">
        <v>473</v>
      </c>
      <c r="Z52" s="440"/>
      <c r="AA52" s="350"/>
      <c r="AB52" s="350"/>
      <c r="AC52" s="427">
        <f>100-21.69</f>
        <v>78.31</v>
      </c>
      <c r="AD52" s="424"/>
      <c r="AE52" s="423"/>
      <c r="AF52" s="424">
        <f>-SUM(AF44:AF51)</f>
        <v>-1732.4142000000002</v>
      </c>
      <c r="AG52" s="423">
        <f>-AF52*AC52/100</f>
        <v>1356.6535600200002</v>
      </c>
      <c r="AH52" s="353">
        <f t="shared" si="3"/>
        <v>1358.0102135800203</v>
      </c>
      <c r="AI52" s="452">
        <f>AG52*65.2%</f>
        <v>884.53812113304014</v>
      </c>
      <c r="AJ52" s="452">
        <f>AG52*9.9%</f>
        <v>134.30870244198002</v>
      </c>
      <c r="AK52" s="349">
        <f>AG52*13.3%</f>
        <v>180.43492348266003</v>
      </c>
      <c r="AL52" s="349">
        <f>AG52*7%</f>
        <v>94.96574920140003</v>
      </c>
      <c r="AM52" s="349">
        <f>AG52*0%</f>
        <v>0</v>
      </c>
      <c r="AN52" s="349">
        <f>AG52*3.2%</f>
        <v>43.412913920640008</v>
      </c>
      <c r="AO52" s="349">
        <f>AG52*1.5%</f>
        <v>20.349803400300001</v>
      </c>
      <c r="AP52" s="349"/>
      <c r="AQ52" s="352"/>
    </row>
    <row r="53" spans="1:43" ht="15" customHeight="1" x14ac:dyDescent="0.25">
      <c r="A53" s="348"/>
      <c r="B53" s="348"/>
      <c r="C53" s="445"/>
      <c r="D53" s="445"/>
      <c r="E53" s="447"/>
      <c r="F53" s="445"/>
      <c r="G53" s="445"/>
      <c r="H53" s="445"/>
      <c r="I53" s="447">
        <v>3.9</v>
      </c>
      <c r="J53" s="446"/>
      <c r="K53" s="446"/>
      <c r="L53" s="446"/>
      <c r="M53" s="446"/>
      <c r="N53" s="350"/>
      <c r="O53" s="447">
        <f>26.7*46%</f>
        <v>12.282</v>
      </c>
      <c r="P53" s="446"/>
      <c r="Q53" s="446"/>
      <c r="R53" s="446"/>
      <c r="S53" s="446"/>
      <c r="T53" s="447">
        <f>26.7*54%</f>
        <v>14.418000000000001</v>
      </c>
      <c r="U53" s="446"/>
      <c r="V53" s="447">
        <v>10.4</v>
      </c>
      <c r="W53" s="446"/>
      <c r="X53" s="352">
        <f t="shared" si="0"/>
        <v>41</v>
      </c>
      <c r="Y53" s="121" t="s">
        <v>474</v>
      </c>
      <c r="Z53" s="430">
        <v>30.9</v>
      </c>
      <c r="AA53" s="350"/>
      <c r="AB53" s="349">
        <v>29.3</v>
      </c>
      <c r="AC53" s="426"/>
      <c r="AD53" s="424">
        <f>X53*Z53/100</f>
        <v>12.668999999999999</v>
      </c>
      <c r="AE53" s="423"/>
      <c r="AF53" s="424">
        <f>X53*AB53/100</f>
        <v>12.013</v>
      </c>
      <c r="AG53" s="423"/>
      <c r="AH53" s="353">
        <f t="shared" ref="AH53:AH80" si="6">SUM(AI53:AQ53)</f>
        <v>0</v>
      </c>
      <c r="AI53" s="428"/>
      <c r="AJ53" s="350"/>
      <c r="AK53" s="350"/>
      <c r="AL53" s="350"/>
      <c r="AM53" s="350"/>
      <c r="AN53" s="350"/>
      <c r="AO53" s="350"/>
      <c r="AP53" s="350"/>
      <c r="AQ53" s="352"/>
    </row>
    <row r="54" spans="1:43" ht="15" customHeight="1" x14ac:dyDescent="0.25">
      <c r="A54" s="348"/>
      <c r="B54" s="348"/>
      <c r="C54" s="445"/>
      <c r="D54" s="446"/>
      <c r="E54" s="446"/>
      <c r="F54" s="446"/>
      <c r="G54" s="446"/>
      <c r="H54" s="446"/>
      <c r="I54" s="447"/>
      <c r="J54" s="446"/>
      <c r="K54" s="446"/>
      <c r="L54" s="447"/>
      <c r="M54" s="446"/>
      <c r="N54" s="350"/>
      <c r="O54" s="447"/>
      <c r="P54" s="446"/>
      <c r="Q54" s="446"/>
      <c r="R54" s="446"/>
      <c r="S54" s="447"/>
      <c r="T54" s="447"/>
      <c r="U54" s="446"/>
      <c r="V54" s="446"/>
      <c r="W54" s="446"/>
      <c r="X54" s="351">
        <f t="shared" si="0"/>
        <v>0</v>
      </c>
      <c r="Y54" s="121" t="s">
        <v>475</v>
      </c>
      <c r="Z54" s="440"/>
      <c r="AA54" s="350"/>
      <c r="AB54" s="349"/>
      <c r="AC54" s="426"/>
      <c r="AD54" s="424">
        <f>X54*Z54/100</f>
        <v>0</v>
      </c>
      <c r="AE54" s="423"/>
      <c r="AF54" s="424">
        <f>X54*AB54/100</f>
        <v>0</v>
      </c>
      <c r="AG54" s="423"/>
      <c r="AH54" s="353">
        <f t="shared" si="6"/>
        <v>0</v>
      </c>
      <c r="AI54" s="428"/>
      <c r="AJ54" s="350"/>
      <c r="AK54" s="350"/>
      <c r="AL54" s="350"/>
      <c r="AM54" s="350"/>
      <c r="AN54" s="350"/>
      <c r="AO54" s="350"/>
      <c r="AP54" s="350"/>
      <c r="AQ54" s="352"/>
    </row>
    <row r="55" spans="1:43" ht="15" customHeight="1" x14ac:dyDescent="0.25">
      <c r="A55" s="348"/>
      <c r="B55" s="348"/>
      <c r="C55" s="445"/>
      <c r="D55" s="446"/>
      <c r="E55" s="446"/>
      <c r="F55" s="446"/>
      <c r="G55" s="446"/>
      <c r="H55" s="446"/>
      <c r="I55" s="446"/>
      <c r="J55" s="446"/>
      <c r="K55" s="446"/>
      <c r="L55" s="446"/>
      <c r="M55" s="446"/>
      <c r="N55" s="350"/>
      <c r="O55" s="446"/>
      <c r="P55" s="446"/>
      <c r="Q55" s="446"/>
      <c r="R55" s="446"/>
      <c r="S55" s="446"/>
      <c r="T55" s="446"/>
      <c r="U55" s="446"/>
      <c r="V55" s="446"/>
      <c r="W55" s="446"/>
      <c r="X55" s="351">
        <f t="shared" si="0"/>
        <v>0</v>
      </c>
      <c r="Y55" s="121" t="s">
        <v>476</v>
      </c>
      <c r="Z55" s="440"/>
      <c r="AA55" s="350"/>
      <c r="AB55" s="350"/>
      <c r="AC55" s="427">
        <f>100-21.69</f>
        <v>78.31</v>
      </c>
      <c r="AD55" s="424"/>
      <c r="AE55" s="423"/>
      <c r="AF55" s="424">
        <f>-SUM(AF53:AF54)</f>
        <v>-12.013</v>
      </c>
      <c r="AG55" s="423">
        <f>-AF55*AC55/100</f>
        <v>9.4073802999999998</v>
      </c>
      <c r="AH55" s="353">
        <f t="shared" si="6"/>
        <v>9.4167876803000024</v>
      </c>
      <c r="AI55" s="452">
        <f>AG55*65.2%</f>
        <v>6.1336119556000002</v>
      </c>
      <c r="AJ55" s="452">
        <f>AG55*9.9%</f>
        <v>0.93133064970000001</v>
      </c>
      <c r="AK55" s="349">
        <f>AG55*13.3%</f>
        <v>1.2511815799000001</v>
      </c>
      <c r="AL55" s="349">
        <f>AG55*7%</f>
        <v>0.65851662100000008</v>
      </c>
      <c r="AM55" s="349">
        <f>AG55*0%</f>
        <v>0</v>
      </c>
      <c r="AN55" s="349">
        <f>AG55*3.2%</f>
        <v>0.30103616960000001</v>
      </c>
      <c r="AO55" s="349">
        <f>AG55*1.5%</f>
        <v>0.14111070449999999</v>
      </c>
      <c r="AP55" s="349"/>
      <c r="AQ55" s="352"/>
    </row>
    <row r="56" spans="1:43" ht="15" customHeight="1" x14ac:dyDescent="0.25">
      <c r="A56" s="348"/>
      <c r="B56" s="348"/>
      <c r="C56" s="445"/>
      <c r="D56" s="447"/>
      <c r="E56" s="447"/>
      <c r="F56" s="445"/>
      <c r="G56" s="445"/>
      <c r="H56" s="445"/>
      <c r="I56" s="447">
        <v>235.5</v>
      </c>
      <c r="J56" s="445"/>
      <c r="K56" s="445"/>
      <c r="L56" s="445"/>
      <c r="M56" s="445"/>
      <c r="N56" s="350"/>
      <c r="O56" s="447"/>
      <c r="P56" s="447"/>
      <c r="Q56" s="447"/>
      <c r="R56" s="447"/>
      <c r="S56" s="447"/>
      <c r="T56" s="447"/>
      <c r="U56" s="446"/>
      <c r="V56" s="446"/>
      <c r="W56" s="446"/>
      <c r="X56" s="351">
        <f t="shared" si="0"/>
        <v>235.5</v>
      </c>
      <c r="Y56" s="121" t="s">
        <v>477</v>
      </c>
      <c r="Z56" s="440"/>
      <c r="AA56" s="350"/>
      <c r="AB56" s="349">
        <v>104.1</v>
      </c>
      <c r="AC56" s="426"/>
      <c r="AD56" s="424"/>
      <c r="AE56" s="423"/>
      <c r="AF56" s="424">
        <f>X56*AB56/100</f>
        <v>245.15549999999999</v>
      </c>
      <c r="AG56" s="423"/>
      <c r="AH56" s="353">
        <f t="shared" si="6"/>
        <v>0</v>
      </c>
      <c r="AI56" s="428"/>
      <c r="AJ56" s="410"/>
      <c r="AK56" s="410"/>
      <c r="AL56" s="410"/>
      <c r="AM56" s="410"/>
      <c r="AN56" s="410"/>
      <c r="AO56" s="410"/>
      <c r="AP56" s="410"/>
      <c r="AQ56" s="352"/>
    </row>
    <row r="57" spans="1:43" ht="15" customHeight="1" x14ac:dyDescent="0.25">
      <c r="A57" s="348"/>
      <c r="B57" s="348"/>
      <c r="C57" s="457"/>
      <c r="D57" s="457"/>
      <c r="E57" s="457"/>
      <c r="F57" s="457"/>
      <c r="G57" s="457"/>
      <c r="H57" s="457"/>
      <c r="I57" s="458"/>
      <c r="J57" s="457"/>
      <c r="K57" s="457"/>
      <c r="L57" s="457"/>
      <c r="M57" s="457"/>
      <c r="N57" s="349">
        <f>AF57-AE57</f>
        <v>37.427999999999997</v>
      </c>
      <c r="O57" s="458"/>
      <c r="P57" s="458"/>
      <c r="Q57" s="458"/>
      <c r="R57" s="458"/>
      <c r="S57" s="458"/>
      <c r="T57" s="458"/>
      <c r="U57" s="458"/>
      <c r="V57" s="458"/>
      <c r="W57" s="458"/>
      <c r="X57" s="351">
        <f t="shared" si="0"/>
        <v>37.427999999999997</v>
      </c>
      <c r="Y57" s="121" t="s">
        <v>478</v>
      </c>
      <c r="Z57" s="424"/>
      <c r="AA57" s="410"/>
      <c r="AB57" s="349">
        <v>411.9</v>
      </c>
      <c r="AC57" s="423"/>
      <c r="AD57" s="424">
        <f>-AE57/$D$2%</f>
        <v>-13.064779531845401</v>
      </c>
      <c r="AE57" s="427">
        <v>12</v>
      </c>
      <c r="AF57" s="424">
        <f>AE57*AB57%</f>
        <v>49.427999999999997</v>
      </c>
      <c r="AG57" s="352"/>
      <c r="AH57" s="353"/>
      <c r="AI57" s="428"/>
      <c r="AJ57" s="410"/>
      <c r="AK57" s="410"/>
      <c r="AL57" s="410"/>
      <c r="AM57" s="410"/>
      <c r="AN57" s="410"/>
      <c r="AO57" s="410"/>
      <c r="AP57" s="410"/>
      <c r="AQ57" s="352"/>
    </row>
    <row r="58" spans="1:43" ht="15" customHeight="1" x14ac:dyDescent="0.25">
      <c r="A58" s="410"/>
      <c r="B58" s="410"/>
      <c r="C58" s="458"/>
      <c r="D58" s="458"/>
      <c r="E58" s="458"/>
      <c r="F58" s="458"/>
      <c r="G58" s="458"/>
      <c r="H58" s="458"/>
      <c r="I58" s="458"/>
      <c r="J58" s="458"/>
      <c r="K58" s="458"/>
      <c r="L58" s="458"/>
      <c r="M58" s="458"/>
      <c r="N58" s="458"/>
      <c r="O58" s="458"/>
      <c r="P58" s="458"/>
      <c r="Q58" s="458"/>
      <c r="R58" s="458"/>
      <c r="S58" s="458"/>
      <c r="T58" s="458"/>
      <c r="U58" s="458"/>
      <c r="V58" s="458"/>
      <c r="W58" s="458"/>
      <c r="X58" s="351">
        <f t="shared" si="0"/>
        <v>0</v>
      </c>
      <c r="Y58" s="121" t="s">
        <v>479</v>
      </c>
      <c r="Z58" s="424"/>
      <c r="AA58" s="410"/>
      <c r="AB58" s="349">
        <v>100</v>
      </c>
      <c r="AC58" s="423"/>
      <c r="AD58" s="424">
        <f>-AE58/$D$2%</f>
        <v>0</v>
      </c>
      <c r="AE58" s="427"/>
      <c r="AF58" s="424">
        <f>X58*AB58/100</f>
        <v>0</v>
      </c>
      <c r="AG58" s="423"/>
      <c r="AH58" s="353"/>
      <c r="AI58" s="428"/>
      <c r="AJ58" s="410"/>
      <c r="AK58" s="410"/>
      <c r="AL58" s="410"/>
      <c r="AM58" s="410"/>
      <c r="AN58" s="410"/>
      <c r="AO58" s="410"/>
      <c r="AP58" s="410"/>
      <c r="AQ58" s="352"/>
    </row>
    <row r="59" spans="1:43" ht="15" customHeight="1" x14ac:dyDescent="0.25">
      <c r="A59" s="348"/>
      <c r="B59" s="348"/>
      <c r="C59" s="458"/>
      <c r="D59" s="458"/>
      <c r="E59" s="458"/>
      <c r="F59" s="458"/>
      <c r="G59" s="458"/>
      <c r="H59" s="458"/>
      <c r="I59" s="458"/>
      <c r="J59" s="458"/>
      <c r="K59" s="458"/>
      <c r="L59" s="458"/>
      <c r="M59" s="458"/>
      <c r="N59" s="458"/>
      <c r="O59" s="458"/>
      <c r="P59" s="458"/>
      <c r="Q59" s="458"/>
      <c r="R59" s="458"/>
      <c r="S59" s="458"/>
      <c r="T59" s="458"/>
      <c r="U59" s="458"/>
      <c r="V59" s="458"/>
      <c r="W59" s="458"/>
      <c r="X59" s="351">
        <f t="shared" si="0"/>
        <v>0</v>
      </c>
      <c r="Y59" s="121" t="s">
        <v>480</v>
      </c>
      <c r="Z59" s="424"/>
      <c r="AA59" s="410"/>
      <c r="AB59" s="410"/>
      <c r="AC59" s="423"/>
      <c r="AD59" s="424"/>
      <c r="AE59" s="423"/>
      <c r="AF59" s="424">
        <f>X59*AB59/100</f>
        <v>0</v>
      </c>
      <c r="AG59" s="423"/>
      <c r="AH59" s="353"/>
      <c r="AI59" s="428"/>
      <c r="AJ59" s="410"/>
      <c r="AK59" s="410"/>
      <c r="AL59" s="410"/>
      <c r="AM59" s="410"/>
      <c r="AN59" s="410"/>
      <c r="AO59" s="410"/>
      <c r="AP59" s="410"/>
      <c r="AQ59" s="352"/>
    </row>
    <row r="60" spans="1:43" ht="15" customHeight="1" x14ac:dyDescent="0.25">
      <c r="A60" s="348"/>
      <c r="B60" s="348"/>
      <c r="C60" s="445"/>
      <c r="D60" s="445"/>
      <c r="E60" s="445"/>
      <c r="F60" s="445"/>
      <c r="G60" s="445"/>
      <c r="H60" s="445"/>
      <c r="I60" s="459"/>
      <c r="J60" s="445"/>
      <c r="K60" s="445"/>
      <c r="L60" s="447">
        <v>32.299999999999997</v>
      </c>
      <c r="M60" s="445"/>
      <c r="N60" s="446"/>
      <c r="O60" s="446"/>
      <c r="P60" s="446"/>
      <c r="Q60" s="446"/>
      <c r="R60" s="446"/>
      <c r="S60" s="446"/>
      <c r="T60" s="446"/>
      <c r="U60" s="446"/>
      <c r="V60" s="446"/>
      <c r="W60" s="446"/>
      <c r="X60" s="351">
        <f t="shared" si="0"/>
        <v>32.299999999999997</v>
      </c>
      <c r="Y60" s="121" t="s">
        <v>481</v>
      </c>
      <c r="Z60" s="440"/>
      <c r="AA60" s="350"/>
      <c r="AB60" s="349">
        <v>100</v>
      </c>
      <c r="AC60" s="426"/>
      <c r="AD60" s="424"/>
      <c r="AE60" s="423"/>
      <c r="AF60" s="424">
        <f>X60*AB60/100</f>
        <v>32.299999999999997</v>
      </c>
      <c r="AG60" s="423"/>
      <c r="AH60" s="353">
        <f t="shared" si="6"/>
        <v>0</v>
      </c>
      <c r="AI60" s="428"/>
      <c r="AJ60" s="410"/>
      <c r="AK60" s="410"/>
      <c r="AL60" s="410"/>
      <c r="AM60" s="410"/>
      <c r="AN60" s="410"/>
      <c r="AO60" s="410"/>
      <c r="AP60" s="410"/>
      <c r="AQ60" s="352"/>
    </row>
    <row r="61" spans="1:43" ht="15" customHeight="1" x14ac:dyDescent="0.25">
      <c r="A61" s="347"/>
      <c r="B61" s="348"/>
      <c r="C61" s="445"/>
      <c r="D61" s="445"/>
      <c r="E61" s="445"/>
      <c r="F61" s="445"/>
      <c r="G61" s="445"/>
      <c r="H61" s="445"/>
      <c r="I61" s="445"/>
      <c r="J61" s="445"/>
      <c r="K61" s="445"/>
      <c r="L61" s="445"/>
      <c r="M61" s="445"/>
      <c r="N61" s="446"/>
      <c r="O61" s="446"/>
      <c r="P61" s="446"/>
      <c r="Q61" s="446"/>
      <c r="R61" s="446"/>
      <c r="S61" s="446"/>
      <c r="T61" s="446"/>
      <c r="U61" s="446"/>
      <c r="V61" s="446"/>
      <c r="W61" s="446"/>
      <c r="X61" s="351">
        <f t="shared" si="0"/>
        <v>0</v>
      </c>
      <c r="Y61" s="121" t="s">
        <v>482</v>
      </c>
      <c r="Z61" s="440"/>
      <c r="AA61" s="350"/>
      <c r="AB61" s="350"/>
      <c r="AC61" s="426"/>
      <c r="AD61" s="424">
        <f>X61*Z61%</f>
        <v>0</v>
      </c>
      <c r="AE61" s="423"/>
      <c r="AF61" s="424">
        <f>X61*AB61%</f>
        <v>0</v>
      </c>
      <c r="AG61" s="423"/>
      <c r="AH61" s="353">
        <f t="shared" si="6"/>
        <v>0</v>
      </c>
      <c r="AI61" s="428"/>
      <c r="AJ61" s="410"/>
      <c r="AK61" s="410"/>
      <c r="AL61" s="410"/>
      <c r="AM61" s="410"/>
      <c r="AN61" s="410"/>
      <c r="AO61" s="410"/>
      <c r="AP61" s="410"/>
      <c r="AQ61" s="352"/>
    </row>
    <row r="62" spans="1:43" ht="15" customHeight="1" x14ac:dyDescent="0.25">
      <c r="A62" s="348"/>
      <c r="B62" s="348"/>
      <c r="C62" s="445"/>
      <c r="D62" s="445"/>
      <c r="E62" s="445"/>
      <c r="F62" s="445"/>
      <c r="G62" s="445"/>
      <c r="H62" s="445"/>
      <c r="I62" s="459"/>
      <c r="J62" s="445"/>
      <c r="K62" s="445"/>
      <c r="L62" s="445"/>
      <c r="M62" s="445"/>
      <c r="N62" s="446"/>
      <c r="O62" s="445"/>
      <c r="P62" s="445"/>
      <c r="Q62" s="445"/>
      <c r="R62" s="445"/>
      <c r="S62" s="445"/>
      <c r="T62" s="445"/>
      <c r="U62" s="445"/>
      <c r="V62" s="445"/>
      <c r="W62" s="445"/>
      <c r="X62" s="351">
        <f t="shared" si="0"/>
        <v>0</v>
      </c>
      <c r="Y62" s="121" t="s">
        <v>483</v>
      </c>
      <c r="Z62" s="440"/>
      <c r="AA62" s="350"/>
      <c r="AB62" s="350"/>
      <c r="AC62" s="427">
        <f>100-21.69</f>
        <v>78.31</v>
      </c>
      <c r="AD62" s="424"/>
      <c r="AE62" s="423"/>
      <c r="AF62" s="441">
        <f>-SUM(AF56:AF61)</f>
        <v>-326.88349999999997</v>
      </c>
      <c r="AG62" s="423">
        <f>-AF62*AC62/100</f>
        <v>255.98246884999998</v>
      </c>
      <c r="AH62" s="353">
        <f t="shared" si="6"/>
        <v>256.23845131884997</v>
      </c>
      <c r="AI62" s="452">
        <f>AG62*65.2%</f>
        <v>166.9005696902</v>
      </c>
      <c r="AJ62" s="452">
        <f>AG62*9.9%</f>
        <v>25.342264416149998</v>
      </c>
      <c r="AK62" s="349">
        <f>AG62*13.3%</f>
        <v>34.045668357049998</v>
      </c>
      <c r="AL62" s="349">
        <f>AG62*7%</f>
        <v>17.918772819499999</v>
      </c>
      <c r="AM62" s="349">
        <f>AG62*0%</f>
        <v>0</v>
      </c>
      <c r="AN62" s="349">
        <f>AG62*3.2%</f>
        <v>8.1914390031999993</v>
      </c>
      <c r="AO62" s="349">
        <f>AG62*1.5%</f>
        <v>3.8397370327499996</v>
      </c>
      <c r="AP62" s="349"/>
      <c r="AQ62" s="352"/>
    </row>
    <row r="63" spans="1:43" ht="15" customHeight="1" x14ac:dyDescent="0.25">
      <c r="A63" s="348"/>
      <c r="B63" s="348"/>
      <c r="C63" s="445"/>
      <c r="D63" s="447"/>
      <c r="E63" s="446"/>
      <c r="F63" s="446"/>
      <c r="G63" s="446"/>
      <c r="H63" s="446"/>
      <c r="I63" s="446"/>
      <c r="J63" s="446"/>
      <c r="K63" s="446"/>
      <c r="L63" s="446"/>
      <c r="M63" s="446"/>
      <c r="N63" s="446"/>
      <c r="O63" s="446"/>
      <c r="P63" s="447"/>
      <c r="Q63" s="446"/>
      <c r="R63" s="446"/>
      <c r="S63" s="447"/>
      <c r="T63" s="446"/>
      <c r="U63" s="447"/>
      <c r="V63" s="446"/>
      <c r="W63" s="447"/>
      <c r="X63" s="351">
        <f t="shared" si="0"/>
        <v>0</v>
      </c>
      <c r="Y63" s="121" t="s">
        <v>484</v>
      </c>
      <c r="Z63" s="430"/>
      <c r="AA63" s="350"/>
      <c r="AB63" s="349"/>
      <c r="AC63" s="426"/>
      <c r="AD63" s="347">
        <f t="shared" ref="AD63:AD68" si="7">Z63/100*X63</f>
        <v>0</v>
      </c>
      <c r="AE63" s="352"/>
      <c r="AF63" s="347">
        <f t="shared" ref="AF63:AF67" si="8">X63*AB63/100</f>
        <v>0</v>
      </c>
      <c r="AG63" s="352"/>
      <c r="AH63" s="353">
        <f t="shared" si="6"/>
        <v>0</v>
      </c>
      <c r="AI63" s="428"/>
      <c r="AJ63" s="410"/>
      <c r="AK63" s="410"/>
      <c r="AL63" s="410"/>
      <c r="AM63" s="410"/>
      <c r="AN63" s="410"/>
      <c r="AO63" s="410"/>
      <c r="AP63" s="410"/>
      <c r="AQ63" s="352"/>
    </row>
    <row r="64" spans="1:43" ht="15" customHeight="1" x14ac:dyDescent="0.25">
      <c r="A64" s="348"/>
      <c r="B64" s="348"/>
      <c r="C64" s="445"/>
      <c r="D64" s="445"/>
      <c r="E64" s="445"/>
      <c r="F64" s="445"/>
      <c r="G64" s="445"/>
      <c r="H64" s="445"/>
      <c r="I64" s="447"/>
      <c r="J64" s="445"/>
      <c r="K64" s="445"/>
      <c r="L64" s="445"/>
      <c r="M64" s="445"/>
      <c r="N64" s="446"/>
      <c r="O64" s="447">
        <f>148.7*46%</f>
        <v>68.402000000000001</v>
      </c>
      <c r="P64" s="446"/>
      <c r="Q64" s="446"/>
      <c r="R64" s="446"/>
      <c r="S64" s="446"/>
      <c r="T64" s="447">
        <f>148.7*54%</f>
        <v>80.298000000000002</v>
      </c>
      <c r="U64" s="445"/>
      <c r="V64" s="445"/>
      <c r="W64" s="445"/>
      <c r="X64" s="351">
        <f t="shared" si="0"/>
        <v>148.69999999999999</v>
      </c>
      <c r="Y64" s="121" t="s">
        <v>485</v>
      </c>
      <c r="Z64" s="430">
        <v>41.7</v>
      </c>
      <c r="AA64" s="350"/>
      <c r="AB64" s="349">
        <v>37.9</v>
      </c>
      <c r="AC64" s="426"/>
      <c r="AD64" s="347">
        <f t="shared" si="7"/>
        <v>62.007899999999999</v>
      </c>
      <c r="AE64" s="352"/>
      <c r="AF64" s="347">
        <f t="shared" si="8"/>
        <v>56.357299999999995</v>
      </c>
      <c r="AG64" s="352"/>
      <c r="AH64" s="353">
        <f t="shared" si="6"/>
        <v>0</v>
      </c>
      <c r="AI64" s="428"/>
      <c r="AJ64" s="410"/>
      <c r="AK64" s="410"/>
      <c r="AL64" s="410"/>
      <c r="AM64" s="410"/>
      <c r="AN64" s="410"/>
      <c r="AO64" s="410"/>
      <c r="AP64" s="410"/>
      <c r="AQ64" s="352"/>
    </row>
    <row r="65" spans="1:43" ht="15" customHeight="1" x14ac:dyDescent="0.25">
      <c r="A65" s="348"/>
      <c r="B65" s="348"/>
      <c r="C65" s="445"/>
      <c r="D65" s="445"/>
      <c r="E65" s="447"/>
      <c r="F65" s="446"/>
      <c r="G65" s="446"/>
      <c r="H65" s="446"/>
      <c r="I65" s="447"/>
      <c r="J65" s="446"/>
      <c r="K65" s="445"/>
      <c r="L65" s="445"/>
      <c r="M65" s="445"/>
      <c r="N65" s="446"/>
      <c r="O65" s="445"/>
      <c r="P65" s="445"/>
      <c r="Q65" s="445"/>
      <c r="R65" s="445"/>
      <c r="S65" s="445"/>
      <c r="T65" s="445"/>
      <c r="U65" s="445"/>
      <c r="V65" s="445"/>
      <c r="W65" s="445"/>
      <c r="X65" s="351">
        <f t="shared" si="0"/>
        <v>0</v>
      </c>
      <c r="Y65" s="121" t="s">
        <v>486</v>
      </c>
      <c r="Z65" s="430"/>
      <c r="AA65" s="350"/>
      <c r="AB65" s="349"/>
      <c r="AC65" s="426"/>
      <c r="AD65" s="347">
        <f t="shared" si="7"/>
        <v>0</v>
      </c>
      <c r="AE65" s="352"/>
      <c r="AF65" s="347">
        <f t="shared" si="8"/>
        <v>0</v>
      </c>
      <c r="AG65" s="352"/>
      <c r="AH65" s="353">
        <f t="shared" si="6"/>
        <v>0</v>
      </c>
      <c r="AI65" s="428"/>
      <c r="AJ65" s="410"/>
      <c r="AK65" s="410"/>
      <c r="AL65" s="410"/>
      <c r="AM65" s="410"/>
      <c r="AN65" s="410"/>
      <c r="AO65" s="410"/>
      <c r="AP65" s="410"/>
      <c r="AQ65" s="352"/>
    </row>
    <row r="66" spans="1:43" ht="15" customHeight="1" x14ac:dyDescent="0.25">
      <c r="A66" s="348"/>
      <c r="B66" s="348"/>
      <c r="C66" s="410"/>
      <c r="D66" s="410"/>
      <c r="E66" s="349"/>
      <c r="F66" s="410"/>
      <c r="G66" s="410"/>
      <c r="H66" s="410"/>
      <c r="I66" s="349"/>
      <c r="J66" s="410"/>
      <c r="K66" s="348"/>
      <c r="L66" s="348"/>
      <c r="M66" s="348"/>
      <c r="N66" s="410"/>
      <c r="O66" s="349">
        <f>7*46%</f>
        <v>3.22</v>
      </c>
      <c r="P66" s="410"/>
      <c r="Q66" s="410"/>
      <c r="R66" s="349"/>
      <c r="S66" s="349"/>
      <c r="T66" s="349">
        <f>7*54%</f>
        <v>3.7800000000000002</v>
      </c>
      <c r="U66" s="349"/>
      <c r="V66" s="410"/>
      <c r="W66" s="349"/>
      <c r="X66" s="351">
        <f t="shared" si="0"/>
        <v>7</v>
      </c>
      <c r="Y66" s="121" t="s">
        <v>487</v>
      </c>
      <c r="Z66" s="440"/>
      <c r="AA66" s="350"/>
      <c r="AB66" s="349">
        <v>70.3</v>
      </c>
      <c r="AC66" s="426"/>
      <c r="AD66" s="347">
        <f t="shared" si="7"/>
        <v>0</v>
      </c>
      <c r="AE66" s="352"/>
      <c r="AF66" s="347">
        <f t="shared" si="8"/>
        <v>4.9209999999999994</v>
      </c>
      <c r="AG66" s="352"/>
      <c r="AH66" s="353">
        <f t="shared" si="6"/>
        <v>0</v>
      </c>
      <c r="AI66" s="428"/>
      <c r="AJ66" s="410"/>
      <c r="AK66" s="410"/>
      <c r="AL66" s="410"/>
      <c r="AM66" s="410"/>
      <c r="AN66" s="410"/>
      <c r="AO66" s="410"/>
      <c r="AP66" s="410"/>
      <c r="AQ66" s="352"/>
    </row>
    <row r="67" spans="1:43" ht="15" customHeight="1" x14ac:dyDescent="0.25">
      <c r="A67" s="348"/>
      <c r="B67" s="348"/>
      <c r="C67" s="410"/>
      <c r="D67" s="410"/>
      <c r="E67" s="410"/>
      <c r="F67" s="410"/>
      <c r="G67" s="410"/>
      <c r="H67" s="410"/>
      <c r="I67" s="410"/>
      <c r="J67" s="410"/>
      <c r="K67" s="348"/>
      <c r="L67" s="348"/>
      <c r="M67" s="348"/>
      <c r="N67" s="410"/>
      <c r="O67" s="348"/>
      <c r="P67" s="410"/>
      <c r="Q67" s="348"/>
      <c r="R67" s="348"/>
      <c r="S67" s="348"/>
      <c r="T67" s="348"/>
      <c r="U67" s="348"/>
      <c r="V67" s="410"/>
      <c r="W67" s="348"/>
      <c r="X67" s="351">
        <f t="shared" si="0"/>
        <v>0</v>
      </c>
      <c r="Y67" s="121" t="s">
        <v>488</v>
      </c>
      <c r="Z67" s="440"/>
      <c r="AA67" s="350"/>
      <c r="AB67" s="350"/>
      <c r="AC67" s="426"/>
      <c r="AD67" s="347">
        <f t="shared" si="7"/>
        <v>0</v>
      </c>
      <c r="AE67" s="352"/>
      <c r="AF67" s="347">
        <f t="shared" si="8"/>
        <v>0</v>
      </c>
      <c r="AG67" s="352"/>
      <c r="AH67" s="353">
        <f t="shared" si="6"/>
        <v>0</v>
      </c>
      <c r="AI67" s="428"/>
      <c r="AJ67" s="410"/>
      <c r="AK67" s="410"/>
      <c r="AL67" s="410"/>
      <c r="AM67" s="410"/>
      <c r="AN67" s="410"/>
      <c r="AO67" s="410"/>
      <c r="AP67" s="410"/>
      <c r="AQ67" s="352"/>
    </row>
    <row r="68" spans="1:43" ht="15" customHeight="1" x14ac:dyDescent="0.25">
      <c r="A68" s="348"/>
      <c r="B68" s="348"/>
      <c r="C68" s="410"/>
      <c r="D68" s="410"/>
      <c r="E68" s="410"/>
      <c r="F68" s="410"/>
      <c r="G68" s="410"/>
      <c r="H68" s="410"/>
      <c r="I68" s="410"/>
      <c r="J68" s="348"/>
      <c r="K68" s="348"/>
      <c r="L68" s="348"/>
      <c r="M68" s="348"/>
      <c r="N68" s="410"/>
      <c r="O68" s="348"/>
      <c r="P68" s="410"/>
      <c r="Q68" s="348"/>
      <c r="R68" s="349"/>
      <c r="S68" s="410"/>
      <c r="T68" s="348"/>
      <c r="U68" s="348"/>
      <c r="V68" s="410"/>
      <c r="W68" s="348"/>
      <c r="X68" s="351">
        <f t="shared" si="0"/>
        <v>0</v>
      </c>
      <c r="Y68" s="121" t="s">
        <v>489</v>
      </c>
      <c r="Z68" s="440"/>
      <c r="AA68" s="350"/>
      <c r="AB68" s="350">
        <v>100</v>
      </c>
      <c r="AC68" s="426"/>
      <c r="AD68" s="347">
        <f t="shared" si="7"/>
        <v>0</v>
      </c>
      <c r="AE68" s="427"/>
      <c r="AF68" s="424"/>
      <c r="AG68" s="352"/>
      <c r="AH68" s="353">
        <f t="shared" si="6"/>
        <v>0</v>
      </c>
      <c r="AI68" s="428"/>
      <c r="AJ68" s="410"/>
      <c r="AK68" s="410"/>
      <c r="AL68" s="410"/>
      <c r="AM68" s="410"/>
      <c r="AN68" s="410"/>
      <c r="AO68" s="410"/>
      <c r="AP68" s="410"/>
      <c r="AQ68" s="352"/>
    </row>
    <row r="69" spans="1:43" ht="15" customHeight="1" x14ac:dyDescent="0.25">
      <c r="A69" s="348"/>
      <c r="B69" s="348"/>
      <c r="C69" s="348"/>
      <c r="D69" s="348"/>
      <c r="E69" s="348"/>
      <c r="F69" s="348"/>
      <c r="G69" s="348"/>
      <c r="H69" s="348"/>
      <c r="I69" s="348"/>
      <c r="J69" s="348"/>
      <c r="K69" s="348"/>
      <c r="L69" s="348"/>
      <c r="M69" s="348"/>
      <c r="N69" s="348"/>
      <c r="O69" s="348"/>
      <c r="P69" s="348"/>
      <c r="Q69" s="348"/>
      <c r="R69" s="348"/>
      <c r="S69" s="348"/>
      <c r="T69" s="348"/>
      <c r="U69" s="348"/>
      <c r="V69" s="410"/>
      <c r="W69" s="348"/>
      <c r="X69" s="351">
        <f t="shared" si="0"/>
        <v>0</v>
      </c>
      <c r="Y69" s="456" t="s">
        <v>490</v>
      </c>
      <c r="Z69" s="441"/>
      <c r="AA69" s="449"/>
      <c r="AB69" s="449"/>
      <c r="AC69" s="460"/>
      <c r="AD69" s="347">
        <f>-AE69</f>
        <v>0</v>
      </c>
      <c r="AE69" s="426">
        <f>0+0+0+0</f>
        <v>0</v>
      </c>
      <c r="AF69" s="440"/>
      <c r="AG69" s="352"/>
      <c r="AH69" s="353">
        <f t="shared" si="6"/>
        <v>0</v>
      </c>
      <c r="AI69" s="428"/>
      <c r="AJ69" s="410"/>
      <c r="AK69" s="410"/>
      <c r="AL69" s="410"/>
      <c r="AM69" s="410"/>
      <c r="AN69" s="410">
        <f>AE69</f>
        <v>0</v>
      </c>
      <c r="AO69" s="410"/>
      <c r="AP69" s="410"/>
      <c r="AQ69" s="352"/>
    </row>
    <row r="70" spans="1:43" ht="15" customHeight="1" x14ac:dyDescent="0.25">
      <c r="A70" s="348"/>
      <c r="B70" s="348"/>
      <c r="C70" s="348"/>
      <c r="D70" s="348"/>
      <c r="E70" s="348"/>
      <c r="F70" s="348"/>
      <c r="G70" s="348"/>
      <c r="H70" s="348"/>
      <c r="I70" s="348"/>
      <c r="J70" s="348"/>
      <c r="K70" s="348"/>
      <c r="L70" s="348"/>
      <c r="M70" s="348"/>
      <c r="N70" s="348"/>
      <c r="O70" s="348"/>
      <c r="P70" s="348"/>
      <c r="Q70" s="348"/>
      <c r="R70" s="348"/>
      <c r="S70" s="348"/>
      <c r="T70" s="348"/>
      <c r="U70" s="348"/>
      <c r="V70" s="348"/>
      <c r="W70" s="348"/>
      <c r="X70" s="351">
        <f t="shared" si="0"/>
        <v>0</v>
      </c>
      <c r="Y70" s="456" t="s">
        <v>491</v>
      </c>
      <c r="Z70" s="441"/>
      <c r="AA70" s="449"/>
      <c r="AB70" s="449"/>
      <c r="AC70" s="426"/>
      <c r="AD70" s="347"/>
      <c r="AE70" s="426"/>
      <c r="AF70" s="440">
        <v>-27.9</v>
      </c>
      <c r="AG70" s="461"/>
      <c r="AH70" s="353">
        <f t="shared" si="6"/>
        <v>27.9</v>
      </c>
      <c r="AI70" s="428"/>
      <c r="AJ70" s="410"/>
      <c r="AK70" s="410"/>
      <c r="AL70" s="410"/>
      <c r="AM70" s="410"/>
      <c r="AN70" s="410">
        <f>-AF70</f>
        <v>27.9</v>
      </c>
      <c r="AO70" s="410"/>
      <c r="AP70" s="410"/>
      <c r="AQ70" s="352"/>
    </row>
    <row r="71" spans="1:43" ht="15" customHeight="1" x14ac:dyDescent="0.25">
      <c r="A71" s="348"/>
      <c r="B71" s="348"/>
      <c r="C71" s="348"/>
      <c r="D71" s="348"/>
      <c r="E71" s="348"/>
      <c r="F71" s="348"/>
      <c r="G71" s="348"/>
      <c r="H71" s="348"/>
      <c r="I71" s="348"/>
      <c r="J71" s="348"/>
      <c r="K71" s="348"/>
      <c r="L71" s="348"/>
      <c r="M71" s="348"/>
      <c r="N71" s="348"/>
      <c r="O71" s="348"/>
      <c r="P71" s="410"/>
      <c r="Q71" s="348"/>
      <c r="R71" s="348"/>
      <c r="S71" s="348"/>
      <c r="T71" s="348"/>
      <c r="U71" s="348"/>
      <c r="V71" s="348"/>
      <c r="W71" s="348"/>
      <c r="X71" s="351">
        <f t="shared" si="0"/>
        <v>0</v>
      </c>
      <c r="Y71" s="121" t="s">
        <v>492</v>
      </c>
      <c r="Z71" s="441"/>
      <c r="AA71" s="449"/>
      <c r="AB71" s="449"/>
      <c r="AC71" s="427">
        <f>100-21.69</f>
        <v>78.31</v>
      </c>
      <c r="AD71" s="347"/>
      <c r="AE71" s="352"/>
      <c r="AF71" s="347">
        <f>-SUM(AF63:AF70)</f>
        <v>-33.378299999999996</v>
      </c>
      <c r="AG71" s="352">
        <f>-AF71*AC71/100</f>
        <v>26.138546729999998</v>
      </c>
      <c r="AH71" s="353">
        <f t="shared" si="6"/>
        <v>26.164685276729998</v>
      </c>
      <c r="AI71" s="452">
        <f>AG71*65.2%</f>
        <v>17.042332467959998</v>
      </c>
      <c r="AJ71" s="452">
        <f>AG71*9.9%</f>
        <v>2.5877161262700001</v>
      </c>
      <c r="AK71" s="349">
        <f>AG71*13.3%</f>
        <v>3.4764267150900001</v>
      </c>
      <c r="AL71" s="349">
        <f>AG71*7%</f>
        <v>1.8296982711000001</v>
      </c>
      <c r="AM71" s="349">
        <f>AG71*0%</f>
        <v>0</v>
      </c>
      <c r="AN71" s="349">
        <f>AG71*3.2%</f>
        <v>0.83643349536</v>
      </c>
      <c r="AO71" s="349">
        <f>AG71*1.5%</f>
        <v>0.39207820094999996</v>
      </c>
      <c r="AP71" s="349"/>
      <c r="AQ71" s="352"/>
    </row>
    <row r="72" spans="1:43" ht="15" customHeight="1" x14ac:dyDescent="0.25">
      <c r="A72" s="347"/>
      <c r="B72" s="348"/>
      <c r="C72" s="348"/>
      <c r="D72" s="348"/>
      <c r="E72" s="348"/>
      <c r="F72" s="350"/>
      <c r="G72" s="350"/>
      <c r="H72" s="349">
        <f>1100.1*(100%-3.1%)</f>
        <v>1065.9968999999999</v>
      </c>
      <c r="I72" s="350"/>
      <c r="J72" s="350"/>
      <c r="K72" s="350"/>
      <c r="L72" s="350"/>
      <c r="M72" s="350"/>
      <c r="N72" s="350"/>
      <c r="O72" s="350"/>
      <c r="P72" s="349">
        <f>1100.1*3.1%</f>
        <v>34.103099999999998</v>
      </c>
      <c r="Q72" s="348"/>
      <c r="R72" s="348"/>
      <c r="S72" s="348"/>
      <c r="T72" s="348"/>
      <c r="U72" s="348"/>
      <c r="V72" s="348"/>
      <c r="W72" s="348"/>
      <c r="X72" s="351">
        <f t="shared" si="0"/>
        <v>1100.0999999999999</v>
      </c>
      <c r="Y72" s="121" t="s">
        <v>403</v>
      </c>
      <c r="Z72" s="347"/>
      <c r="AA72" s="348">
        <v>20</v>
      </c>
      <c r="AB72" s="348"/>
      <c r="AC72" s="352"/>
      <c r="AD72" s="347"/>
      <c r="AE72" s="352"/>
      <c r="AF72" s="347"/>
      <c r="AG72" s="352"/>
      <c r="AH72" s="353">
        <f t="shared" si="6"/>
        <v>220.02</v>
      </c>
      <c r="AI72" s="354"/>
      <c r="AJ72" s="348"/>
      <c r="AK72" s="348"/>
      <c r="AL72" s="348"/>
      <c r="AM72" s="348"/>
      <c r="AN72" s="348"/>
      <c r="AO72" s="348"/>
      <c r="AP72" s="348"/>
      <c r="AQ72" s="352">
        <f>X72*AA72/100</f>
        <v>220.02</v>
      </c>
    </row>
    <row r="73" spans="1:43" ht="15" customHeight="1" x14ac:dyDescent="0.25">
      <c r="A73" s="347"/>
      <c r="B73" s="348"/>
      <c r="C73" s="348"/>
      <c r="D73" s="348"/>
      <c r="E73" s="348"/>
      <c r="F73" s="349">
        <f>870.4*(100%-6.7%)</f>
        <v>812.08320000000003</v>
      </c>
      <c r="G73" s="350"/>
      <c r="H73" s="350"/>
      <c r="I73" s="350"/>
      <c r="J73" s="350"/>
      <c r="K73" s="350"/>
      <c r="L73" s="350"/>
      <c r="M73" s="350"/>
      <c r="N73" s="350"/>
      <c r="O73" s="350"/>
      <c r="P73" s="349">
        <f>870.4*6.7%</f>
        <v>58.316800000000001</v>
      </c>
      <c r="Q73" s="348"/>
      <c r="R73" s="348"/>
      <c r="S73" s="348"/>
      <c r="T73" s="348"/>
      <c r="U73" s="348"/>
      <c r="V73" s="348"/>
      <c r="W73" s="348"/>
      <c r="X73" s="351">
        <f t="shared" si="0"/>
        <v>870.40000000000009</v>
      </c>
      <c r="Y73" s="121" t="s">
        <v>384</v>
      </c>
      <c r="Z73" s="347"/>
      <c r="AA73" s="348">
        <v>25</v>
      </c>
      <c r="AB73" s="348"/>
      <c r="AC73" s="352"/>
      <c r="AD73" s="347"/>
      <c r="AE73" s="352"/>
      <c r="AF73" s="347"/>
      <c r="AG73" s="352"/>
      <c r="AH73" s="353">
        <f t="shared" si="6"/>
        <v>217.60000000000002</v>
      </c>
      <c r="AI73" s="354"/>
      <c r="AJ73" s="348"/>
      <c r="AK73" s="348"/>
      <c r="AL73" s="348"/>
      <c r="AM73" s="348"/>
      <c r="AN73" s="348"/>
      <c r="AO73" s="348"/>
      <c r="AP73" s="348"/>
      <c r="AQ73" s="352">
        <f>X73*AA73/100</f>
        <v>217.60000000000002</v>
      </c>
    </row>
    <row r="74" spans="1:43" ht="15" customHeight="1" x14ac:dyDescent="0.25">
      <c r="A74" s="347"/>
      <c r="B74" s="348"/>
      <c r="C74" s="348"/>
      <c r="D74" s="348"/>
      <c r="E74" s="348"/>
      <c r="F74" s="349">
        <f>435*(100%-6.7%)</f>
        <v>405.85500000000002</v>
      </c>
      <c r="G74" s="350"/>
      <c r="H74" s="350"/>
      <c r="I74" s="350"/>
      <c r="J74" s="350"/>
      <c r="K74" s="350"/>
      <c r="L74" s="350"/>
      <c r="M74" s="350"/>
      <c r="N74" s="350"/>
      <c r="O74" s="350"/>
      <c r="P74" s="349">
        <f>435*6.7%</f>
        <v>29.145000000000003</v>
      </c>
      <c r="Q74" s="348"/>
      <c r="R74" s="348"/>
      <c r="S74" s="348"/>
      <c r="T74" s="348"/>
      <c r="U74" s="348"/>
      <c r="V74" s="348"/>
      <c r="W74" s="348"/>
      <c r="X74" s="351">
        <f t="shared" si="0"/>
        <v>435</v>
      </c>
      <c r="Y74" s="121" t="s">
        <v>385</v>
      </c>
      <c r="Z74" s="347"/>
      <c r="AA74" s="348">
        <v>25</v>
      </c>
      <c r="AB74" s="348"/>
      <c r="AC74" s="352"/>
      <c r="AD74" s="347"/>
      <c r="AE74" s="352"/>
      <c r="AF74" s="347"/>
      <c r="AG74" s="352"/>
      <c r="AH74" s="353">
        <f t="shared" si="6"/>
        <v>108.75</v>
      </c>
      <c r="AI74" s="354"/>
      <c r="AJ74" s="348"/>
      <c r="AK74" s="348"/>
      <c r="AL74" s="348"/>
      <c r="AM74" s="348"/>
      <c r="AN74" s="348"/>
      <c r="AO74" s="348"/>
      <c r="AP74" s="348"/>
      <c r="AQ74" s="352">
        <f>X74*AA74/100</f>
        <v>108.75</v>
      </c>
    </row>
    <row r="75" spans="1:43" ht="15" customHeight="1" x14ac:dyDescent="0.25">
      <c r="A75" s="347"/>
      <c r="B75" s="348"/>
      <c r="C75" s="348"/>
      <c r="D75" s="348"/>
      <c r="E75" s="348"/>
      <c r="F75" s="349">
        <f>111.1*(100%-6.7%)</f>
        <v>103.6563</v>
      </c>
      <c r="G75" s="350"/>
      <c r="H75" s="350"/>
      <c r="I75" s="350"/>
      <c r="J75" s="350"/>
      <c r="K75" s="350"/>
      <c r="L75" s="350"/>
      <c r="M75" s="350"/>
      <c r="N75" s="350"/>
      <c r="O75" s="350"/>
      <c r="P75" s="349">
        <f>111.1*6.7%</f>
        <v>7.4436999999999998</v>
      </c>
      <c r="Q75" s="348"/>
      <c r="R75" s="348"/>
      <c r="S75" s="348"/>
      <c r="T75" s="348"/>
      <c r="U75" s="348"/>
      <c r="V75" s="348"/>
      <c r="W75" s="348"/>
      <c r="X75" s="351">
        <f t="shared" si="0"/>
        <v>111.1</v>
      </c>
      <c r="Y75" s="121" t="s">
        <v>386</v>
      </c>
      <c r="Z75" s="347"/>
      <c r="AA75" s="348">
        <v>33</v>
      </c>
      <c r="AB75" s="348"/>
      <c r="AC75" s="352"/>
      <c r="AD75" s="347"/>
      <c r="AE75" s="352"/>
      <c r="AF75" s="347"/>
      <c r="AG75" s="352"/>
      <c r="AH75" s="353">
        <f t="shared" si="6"/>
        <v>36.662999999999997</v>
      </c>
      <c r="AI75" s="354"/>
      <c r="AJ75" s="348"/>
      <c r="AK75" s="348"/>
      <c r="AL75" s="348"/>
      <c r="AM75" s="348"/>
      <c r="AN75" s="348"/>
      <c r="AO75" s="348"/>
      <c r="AP75" s="348"/>
      <c r="AQ75" s="352">
        <f>X75*AA75/100</f>
        <v>36.662999999999997</v>
      </c>
    </row>
    <row r="76" spans="1:43" ht="15" customHeight="1" x14ac:dyDescent="0.25">
      <c r="A76" s="347"/>
      <c r="B76" s="348"/>
      <c r="C76" s="348"/>
      <c r="D76" s="348"/>
      <c r="E76" s="348"/>
      <c r="F76" s="349">
        <f>387.9*(100%-6.7%)</f>
        <v>361.91070000000002</v>
      </c>
      <c r="G76" s="350"/>
      <c r="H76" s="350"/>
      <c r="I76" s="350"/>
      <c r="J76" s="350"/>
      <c r="K76" s="350"/>
      <c r="L76" s="350"/>
      <c r="M76" s="350"/>
      <c r="N76" s="350"/>
      <c r="O76" s="350"/>
      <c r="P76" s="349">
        <f>387.9*6.7%</f>
        <v>25.9893</v>
      </c>
      <c r="Q76" s="348"/>
      <c r="R76" s="348"/>
      <c r="S76" s="348"/>
      <c r="T76" s="348"/>
      <c r="U76" s="348"/>
      <c r="V76" s="348"/>
      <c r="W76" s="348"/>
      <c r="X76" s="352">
        <f>SUM(A76:W76)</f>
        <v>387.90000000000003</v>
      </c>
      <c r="Y76" s="121" t="s">
        <v>387</v>
      </c>
      <c r="Z76" s="347"/>
      <c r="AA76" s="348">
        <v>33</v>
      </c>
      <c r="AB76" s="348"/>
      <c r="AC76" s="352"/>
      <c r="AD76" s="347"/>
      <c r="AE76" s="352"/>
      <c r="AF76" s="347"/>
      <c r="AG76" s="352"/>
      <c r="AH76" s="353">
        <f t="shared" si="6"/>
        <v>128.00700000000001</v>
      </c>
      <c r="AI76" s="354"/>
      <c r="AJ76" s="348"/>
      <c r="AK76" s="348"/>
      <c r="AL76" s="348"/>
      <c r="AM76" s="348"/>
      <c r="AN76" s="348"/>
      <c r="AO76" s="348"/>
      <c r="AP76" s="348"/>
      <c r="AQ76" s="352">
        <f>X76*AA76/100</f>
        <v>128.00700000000001</v>
      </c>
    </row>
    <row r="77" spans="1:43" ht="15" customHeight="1" x14ac:dyDescent="0.25">
      <c r="A77" s="347"/>
      <c r="B77" s="348"/>
      <c r="C77" s="348"/>
      <c r="D77" s="348"/>
      <c r="E77" s="348"/>
      <c r="F77" s="349">
        <v>361.5</v>
      </c>
      <c r="G77" s="350"/>
      <c r="H77" s="350"/>
      <c r="I77" s="350"/>
      <c r="J77" s="350"/>
      <c r="K77" s="350"/>
      <c r="L77" s="350"/>
      <c r="M77" s="350"/>
      <c r="N77" s="350"/>
      <c r="O77" s="350"/>
      <c r="P77" s="350"/>
      <c r="Q77" s="348"/>
      <c r="R77" s="348"/>
      <c r="S77" s="348"/>
      <c r="T77" s="348"/>
      <c r="U77" s="348"/>
      <c r="V77" s="348"/>
      <c r="W77" s="348"/>
      <c r="X77" s="352">
        <f>SUM(A77:W77)</f>
        <v>361.5</v>
      </c>
      <c r="Y77" s="121" t="s">
        <v>388</v>
      </c>
      <c r="Z77" s="347"/>
      <c r="AA77" s="348">
        <v>33</v>
      </c>
      <c r="AB77" s="348"/>
      <c r="AC77" s="352"/>
      <c r="AD77" s="347"/>
      <c r="AE77" s="352"/>
      <c r="AF77" s="347"/>
      <c r="AG77" s="352"/>
      <c r="AH77" s="353">
        <f t="shared" si="6"/>
        <v>119.295</v>
      </c>
      <c r="AI77" s="354"/>
      <c r="AJ77" s="348"/>
      <c r="AK77" s="348"/>
      <c r="AL77" s="348"/>
      <c r="AM77" s="348"/>
      <c r="AN77" s="348"/>
      <c r="AO77" s="348"/>
      <c r="AP77" s="348">
        <f>X77*AA77%</f>
        <v>119.295</v>
      </c>
      <c r="AQ77" s="352"/>
    </row>
    <row r="78" spans="1:43" ht="15" customHeight="1" x14ac:dyDescent="0.25">
      <c r="A78" s="355"/>
      <c r="B78" s="356"/>
      <c r="C78" s="356"/>
      <c r="D78" s="357"/>
      <c r="E78" s="357"/>
      <c r="F78" s="358">
        <v>50.7</v>
      </c>
      <c r="G78" s="357"/>
      <c r="H78" s="357"/>
      <c r="I78" s="357"/>
      <c r="J78" s="357"/>
      <c r="K78" s="356"/>
      <c r="L78" s="356"/>
      <c r="M78" s="356"/>
      <c r="N78" s="356"/>
      <c r="O78" s="356"/>
      <c r="P78" s="356"/>
      <c r="Q78" s="356"/>
      <c r="R78" s="356"/>
      <c r="S78" s="356"/>
      <c r="T78" s="356"/>
      <c r="U78" s="356"/>
      <c r="V78" s="356"/>
      <c r="W78" s="356"/>
      <c r="X78" s="352">
        <f>SUM(A78:W78)</f>
        <v>50.7</v>
      </c>
      <c r="Y78" s="123" t="s">
        <v>389</v>
      </c>
      <c r="Z78" s="355"/>
      <c r="AA78" s="348">
        <v>33</v>
      </c>
      <c r="AB78" s="356"/>
      <c r="AC78" s="359"/>
      <c r="AD78" s="347">
        <f>-AE78/$D$2%</f>
        <v>0</v>
      </c>
      <c r="AE78" s="462"/>
      <c r="AF78" s="355"/>
      <c r="AG78" s="359"/>
      <c r="AH78" s="353">
        <f t="shared" si="6"/>
        <v>16.731000000000002</v>
      </c>
      <c r="AI78" s="360"/>
      <c r="AJ78" s="356"/>
      <c r="AK78" s="356"/>
      <c r="AL78" s="356"/>
      <c r="AM78" s="356"/>
      <c r="AN78" s="356"/>
      <c r="AO78" s="356"/>
      <c r="AP78" s="356"/>
      <c r="AQ78" s="352">
        <f>X78*AA78/100+AE78*AA78%</f>
        <v>16.731000000000002</v>
      </c>
    </row>
    <row r="79" spans="1:43" ht="15" customHeight="1" x14ac:dyDescent="0.25">
      <c r="A79" s="355"/>
      <c r="B79" s="356"/>
      <c r="C79" s="356"/>
      <c r="D79" s="357"/>
      <c r="E79" s="357"/>
      <c r="F79" s="357"/>
      <c r="G79" s="358">
        <v>749.5</v>
      </c>
      <c r="H79" s="349">
        <v>0.8</v>
      </c>
      <c r="I79" s="357"/>
      <c r="J79" s="357"/>
      <c r="K79" s="356"/>
      <c r="L79" s="356"/>
      <c r="M79" s="356"/>
      <c r="N79" s="356"/>
      <c r="O79" s="356"/>
      <c r="P79" s="356"/>
      <c r="Q79" s="356"/>
      <c r="R79" s="356"/>
      <c r="S79" s="356"/>
      <c r="T79" s="356"/>
      <c r="U79" s="356"/>
      <c r="V79" s="356"/>
      <c r="W79" s="356"/>
      <c r="X79" s="352">
        <f>SUM(A79:W79)</f>
        <v>750.3</v>
      </c>
      <c r="Y79" s="123" t="s">
        <v>390</v>
      </c>
      <c r="Z79" s="355"/>
      <c r="AA79" s="348">
        <v>33</v>
      </c>
      <c r="AB79" s="356"/>
      <c r="AC79" s="359"/>
      <c r="AD79" s="355"/>
      <c r="AE79" s="359"/>
      <c r="AF79" s="355"/>
      <c r="AG79" s="359"/>
      <c r="AH79" s="353">
        <f t="shared" si="6"/>
        <v>247.59899999999999</v>
      </c>
      <c r="AI79" s="360"/>
      <c r="AJ79" s="356"/>
      <c r="AK79" s="356"/>
      <c r="AL79" s="356"/>
      <c r="AM79" s="356"/>
      <c r="AN79" s="356"/>
      <c r="AO79" s="356"/>
      <c r="AP79" s="356"/>
      <c r="AQ79" s="352">
        <f>X79*AA79/100</f>
        <v>247.59899999999999</v>
      </c>
    </row>
    <row r="80" spans="1:43" ht="15" customHeight="1" thickBot="1" x14ac:dyDescent="0.3">
      <c r="A80" s="355"/>
      <c r="B80" s="356"/>
      <c r="C80" s="356"/>
      <c r="D80" s="358">
        <v>0.1</v>
      </c>
      <c r="E80" s="357"/>
      <c r="F80" s="358">
        <v>107</v>
      </c>
      <c r="G80" s="357"/>
      <c r="H80" s="357"/>
      <c r="I80" s="357"/>
      <c r="J80" s="357"/>
      <c r="K80" s="356"/>
      <c r="L80" s="356"/>
      <c r="M80" s="356"/>
      <c r="N80" s="356"/>
      <c r="O80" s="356"/>
      <c r="P80" s="356"/>
      <c r="Q80" s="356"/>
      <c r="R80" s="356"/>
      <c r="S80" s="356"/>
      <c r="T80" s="356"/>
      <c r="U80" s="356"/>
      <c r="V80" s="356"/>
      <c r="W80" s="356"/>
      <c r="X80" s="359">
        <f t="shared" si="0"/>
        <v>107.1</v>
      </c>
      <c r="Y80" s="329" t="s">
        <v>391</v>
      </c>
      <c r="Z80" s="361"/>
      <c r="AA80" s="348">
        <v>33</v>
      </c>
      <c r="AB80" s="362"/>
      <c r="AC80" s="363"/>
      <c r="AD80" s="361"/>
      <c r="AE80" s="363"/>
      <c r="AF80" s="361"/>
      <c r="AG80" s="363"/>
      <c r="AH80" s="364">
        <f t="shared" si="6"/>
        <v>35.342999999999996</v>
      </c>
      <c r="AI80" s="463"/>
      <c r="AJ80" s="362"/>
      <c r="AK80" s="362"/>
      <c r="AL80" s="362"/>
      <c r="AM80" s="362"/>
      <c r="AN80" s="362"/>
      <c r="AO80" s="362"/>
      <c r="AP80" s="362"/>
      <c r="AQ80" s="352">
        <f>X80*AA80/100</f>
        <v>35.342999999999996</v>
      </c>
    </row>
    <row r="81" spans="1:44" ht="15" customHeight="1" thickBot="1" x14ac:dyDescent="0.3">
      <c r="A81" s="464">
        <f t="shared" ref="A81:W81" si="9">SUM(A8:A80)</f>
        <v>832.10292933678272</v>
      </c>
      <c r="B81" s="465">
        <f t="shared" si="9"/>
        <v>42.4</v>
      </c>
      <c r="C81" s="465">
        <f t="shared" si="9"/>
        <v>0</v>
      </c>
      <c r="D81" s="465">
        <f t="shared" si="9"/>
        <v>0.1</v>
      </c>
      <c r="E81" s="465">
        <f t="shared" si="9"/>
        <v>229.2</v>
      </c>
      <c r="F81" s="465">
        <f t="shared" si="9"/>
        <v>2202.7051999999999</v>
      </c>
      <c r="G81" s="465">
        <f t="shared" si="9"/>
        <v>749.5</v>
      </c>
      <c r="H81" s="465">
        <f t="shared" si="9"/>
        <v>1066.7968999999998</v>
      </c>
      <c r="I81" s="465">
        <f t="shared" si="9"/>
        <v>4229.8</v>
      </c>
      <c r="J81" s="465">
        <f t="shared" si="9"/>
        <v>399.6</v>
      </c>
      <c r="K81" s="465">
        <f t="shared" si="9"/>
        <v>39.6</v>
      </c>
      <c r="L81" s="465">
        <f t="shared" si="9"/>
        <v>130.89999999999998</v>
      </c>
      <c r="M81" s="465">
        <f t="shared" si="9"/>
        <v>0</v>
      </c>
      <c r="N81" s="465">
        <f t="shared" si="9"/>
        <v>68.383999999999986</v>
      </c>
      <c r="O81" s="465">
        <f t="shared" si="9"/>
        <v>286.76400000000007</v>
      </c>
      <c r="P81" s="465">
        <f t="shared" si="9"/>
        <v>154.99790000000002</v>
      </c>
      <c r="Q81" s="465">
        <f t="shared" si="9"/>
        <v>122.1</v>
      </c>
      <c r="R81" s="465">
        <f t="shared" si="9"/>
        <v>445.7</v>
      </c>
      <c r="S81" s="465">
        <f t="shared" si="9"/>
        <v>667</v>
      </c>
      <c r="T81" s="465">
        <f t="shared" si="9"/>
        <v>336.63599999999997</v>
      </c>
      <c r="U81" s="465">
        <f t="shared" si="9"/>
        <v>0</v>
      </c>
      <c r="V81" s="465">
        <f t="shared" si="9"/>
        <v>10.4</v>
      </c>
      <c r="W81" s="465">
        <f t="shared" si="9"/>
        <v>0</v>
      </c>
      <c r="X81" s="466">
        <f>SUM(X8:X80)</f>
        <v>12014.686929336784</v>
      </c>
      <c r="Y81" s="365" t="s">
        <v>237</v>
      </c>
      <c r="Z81" s="395"/>
      <c r="AA81" s="395"/>
      <c r="AB81" s="395"/>
      <c r="AC81" s="395"/>
      <c r="AD81" s="464">
        <f t="shared" ref="AD81:AQ81" si="10">SUM(AD8:AD80)</f>
        <v>-6.4659388954169117E-13</v>
      </c>
      <c r="AE81" s="466">
        <f t="shared" si="10"/>
        <v>2283.0436502458351</v>
      </c>
      <c r="AF81" s="464">
        <f t="shared" si="10"/>
        <v>0</v>
      </c>
      <c r="AG81" s="466">
        <f t="shared" si="10"/>
        <v>1648.1819559</v>
      </c>
      <c r="AH81" s="365">
        <f t="shared" si="10"/>
        <v>7121.9955868019933</v>
      </c>
      <c r="AI81" s="467">
        <f t="shared" si="10"/>
        <v>3027.0653357349997</v>
      </c>
      <c r="AJ81" s="465">
        <f t="shared" si="10"/>
        <v>430.97054017081729</v>
      </c>
      <c r="AK81" s="465">
        <f t="shared" si="10"/>
        <v>330.32985960612007</v>
      </c>
      <c r="AL81" s="465">
        <f t="shared" si="10"/>
        <v>288.73708766201781</v>
      </c>
      <c r="AM81" s="465">
        <f t="shared" si="10"/>
        <v>13.44150387976941</v>
      </c>
      <c r="AN81" s="465">
        <f t="shared" si="10"/>
        <v>1543.1997361557962</v>
      </c>
      <c r="AO81" s="465">
        <f t="shared" si="10"/>
        <v>28.279628287377651</v>
      </c>
      <c r="AP81" s="465">
        <f t="shared" si="10"/>
        <v>384.73649530509545</v>
      </c>
      <c r="AQ81" s="466">
        <f t="shared" si="10"/>
        <v>1075.2354</v>
      </c>
    </row>
    <row r="82" spans="1:44" ht="15" customHeight="1" x14ac:dyDescent="0.25">
      <c r="A82" s="374">
        <f t="shared" ref="A82:V82" si="11">A81*A89/1000</f>
        <v>103.28061558928147</v>
      </c>
      <c r="B82" s="375">
        <f t="shared" si="11"/>
        <v>2.67544</v>
      </c>
      <c r="C82" s="375">
        <f t="shared" si="11"/>
        <v>0</v>
      </c>
      <c r="D82" s="375">
        <f t="shared" si="11"/>
        <v>7.8840000000000004E-3</v>
      </c>
      <c r="E82" s="375">
        <f t="shared" si="11"/>
        <v>16.960799999999999</v>
      </c>
      <c r="F82" s="375">
        <f t="shared" si="11"/>
        <v>163.0001848</v>
      </c>
      <c r="G82" s="375">
        <f t="shared" si="11"/>
        <v>53.963999999999999</v>
      </c>
      <c r="H82" s="375">
        <f t="shared" si="11"/>
        <v>77.876173699999981</v>
      </c>
      <c r="I82" s="375">
        <f t="shared" si="11"/>
        <v>241.0986</v>
      </c>
      <c r="J82" s="375">
        <f t="shared" si="11"/>
        <v>0</v>
      </c>
      <c r="K82" s="375">
        <f t="shared" si="11"/>
        <v>0</v>
      </c>
      <c r="L82" s="375">
        <f t="shared" si="11"/>
        <v>0</v>
      </c>
      <c r="M82" s="375">
        <f t="shared" si="11"/>
        <v>0</v>
      </c>
      <c r="N82" s="375">
        <v>0</v>
      </c>
      <c r="O82" s="375">
        <f t="shared" si="11"/>
        <v>0</v>
      </c>
      <c r="P82" s="375">
        <f t="shared" si="11"/>
        <v>0</v>
      </c>
      <c r="Q82" s="375">
        <f t="shared" si="11"/>
        <v>0</v>
      </c>
      <c r="R82" s="375">
        <f t="shared" si="11"/>
        <v>0</v>
      </c>
      <c r="S82" s="375">
        <f t="shared" si="11"/>
        <v>0</v>
      </c>
      <c r="T82" s="375">
        <f t="shared" si="11"/>
        <v>0</v>
      </c>
      <c r="U82" s="375">
        <f t="shared" si="11"/>
        <v>0</v>
      </c>
      <c r="V82" s="375">
        <f t="shared" si="11"/>
        <v>0</v>
      </c>
      <c r="W82" s="375">
        <f>W81*W89/1000</f>
        <v>0</v>
      </c>
      <c r="X82" s="351">
        <f>SUM(A82:W82)</f>
        <v>658.86369808928146</v>
      </c>
      <c r="Y82" s="468" t="s">
        <v>392</v>
      </c>
      <c r="Z82" s="469">
        <f>X82*1000/D1</f>
        <v>6.8006120587645045</v>
      </c>
      <c r="AA82" s="470" t="s">
        <v>393</v>
      </c>
      <c r="AB82" s="470"/>
      <c r="AC82" s="471"/>
      <c r="AD82" s="453"/>
      <c r="AE82" s="453"/>
      <c r="AF82" s="453"/>
      <c r="AG82" s="453"/>
      <c r="AH82" s="453"/>
      <c r="AI82" s="453"/>
      <c r="AJ82" s="453"/>
      <c r="AK82" s="453"/>
      <c r="AL82" s="453"/>
      <c r="AM82" s="453"/>
      <c r="AN82" s="453"/>
      <c r="AO82" s="453"/>
      <c r="AP82" s="453"/>
      <c r="AQ82" s="453"/>
    </row>
    <row r="83" spans="1:44" ht="15" customHeight="1" x14ac:dyDescent="0.25">
      <c r="A83" s="347"/>
      <c r="B83" s="348"/>
      <c r="C83" s="348"/>
      <c r="D83" s="348"/>
      <c r="E83" s="348"/>
      <c r="F83" s="348"/>
      <c r="G83" s="348"/>
      <c r="H83" s="348"/>
      <c r="I83" s="348"/>
      <c r="J83" s="348"/>
      <c r="K83" s="348"/>
      <c r="L83" s="348"/>
      <c r="M83" s="348"/>
      <c r="N83" s="348"/>
      <c r="O83" s="350">
        <v>830</v>
      </c>
      <c r="P83" s="350">
        <v>1071</v>
      </c>
      <c r="Q83" s="350">
        <v>169</v>
      </c>
      <c r="R83" s="350">
        <v>1193</v>
      </c>
      <c r="S83" s="348"/>
      <c r="T83" s="348"/>
      <c r="U83" s="348"/>
      <c r="V83" s="348"/>
      <c r="W83" s="348"/>
      <c r="X83" s="352">
        <f>SUM(A83:W83)</f>
        <v>3263</v>
      </c>
      <c r="Y83" s="353" t="s">
        <v>493</v>
      </c>
      <c r="Z83" s="472">
        <f>(SUM(J14:V14)+AD15*A87%+SUM(J19:V19)+SUM(J20:V20)+SUM(J21:V21)+SUM(J22:V22)+SUM(J25:V25)+SUM(J72:V72)+SUM(J73:V73)+SUM(J74:V74)+SUM(J75:V75)+SUM(J76:V76)+SUM(J77:V77)+SUM(J78:V78)+SUM(J79:V79)+SUM(J80:V80)+SUM(J26:V26)*(Z26%+AB26%)+SUM(J27:V27)*(Z27%+AB27%)+SUM(J28:V28)*(Z28%+AB28%)+SUM(J29:V29)*(Z29%+AB29%)+SUM(J30:V30)*(Z30%+AB30%)+SUM(J32:V32)*(Z32%+AA32%+AB32%)+SUM(J31:V31)*(AA31%)+SUM(J33:V33)*(Z33%+AB33%)+SUM(J34:V34)*(Z34%+AB34%)+SUM(J35:V35)*(Z35%+AB35%)+SUM(J36:V36)*(Z36%+AB36%)+SUM(J37:V37)+SUM(J40:V40)*(Z40%+AB40%)+SUM(J41:V41)*(Z41%+AB41%)+SUM(J42:V42)*(Z42%+AB42%)+SUM(J44:V44)*(Z44%+AB44%)+SUM(J45:V45)*(Z45%+AB45%)+SUM(J46:V46)*(Z46%+AB46%)+SUM(J47:V47)*(Z47%+AB47%)+SUM(J48:V48)+SUM(J50:V50)*(Z50%+AB50%)+SUM(J51:V51)*(Z51%+AB51%)+SUM(J53:V53)*(Z53%+AA53%+AB53%)+SUM(J54:V54)*(Z54%+AA54%+AB54%)+SUM(J56:V56)*(Z56%+AB56%)+SUM(J57:V57)+SUM(J59:V59)*(Z59%+AB59%)+SUM(J60:V60)*(Z60%+AB60%)+SUM(J61:V61)*(Z61%+AB61%)+SUM(J63:V63)*(Z63%+AB63%)+SUM(J64:V64)*(Z64%+AB64%)+SUM(J65:V65)*(Z65%+AB65%)+SUM(J66:V66)*(Z66%+AB66%)+SUM(J67:V67)*(Z67%+AB67%)+SUM(J68:V68)*(Z68%+AB68%))/(SUM(X8:X14)+SUM(X16:X25)+X32*AA32%+X53*AA53%+X54*AA54%+SUM(X72:X80)+(AG39/AC39%+AG43/AC43%+AG52/AC52%+AG55/AC55%+AG62/AC62%+AG71/AC71%)+AE81+SUM(AE8:AE14)*(1-D2%)+(-AF70))*100</f>
        <v>25.328164421242082</v>
      </c>
      <c r="AA83" s="473" t="s">
        <v>494</v>
      </c>
      <c r="AB83" s="473"/>
      <c r="AC83" s="474"/>
      <c r="AD83" s="453"/>
      <c r="AE83" s="453"/>
      <c r="AF83" s="453"/>
      <c r="AG83" s="453"/>
      <c r="AH83" s="453"/>
      <c r="AI83" s="453"/>
      <c r="AJ83" s="453"/>
      <c r="AK83" s="453"/>
      <c r="AL83" s="453"/>
      <c r="AM83" s="453"/>
      <c r="AN83" s="453"/>
      <c r="AO83" s="453"/>
      <c r="AP83" s="453"/>
      <c r="AQ83" s="453"/>
    </row>
    <row r="84" spans="1:44" ht="15" customHeight="1" thickBot="1" x14ac:dyDescent="0.3">
      <c r="A84" s="361"/>
      <c r="B84" s="362"/>
      <c r="C84" s="362"/>
      <c r="D84" s="362"/>
      <c r="E84" s="362"/>
      <c r="F84" s="362"/>
      <c r="G84" s="362"/>
      <c r="H84" s="362"/>
      <c r="I84" s="362"/>
      <c r="J84" s="362" t="str">
        <f>IF(J83&gt;0,J81/J83*100,"")</f>
        <v/>
      </c>
      <c r="K84" s="362" t="str">
        <f t="shared" ref="K84:W84" si="12">IF(K83&gt;0,K81/K83*100,"")</f>
        <v/>
      </c>
      <c r="L84" s="362" t="str">
        <f t="shared" si="12"/>
        <v/>
      </c>
      <c r="M84" s="362" t="str">
        <f t="shared" si="12"/>
        <v/>
      </c>
      <c r="N84" s="362" t="str">
        <f t="shared" si="12"/>
        <v/>
      </c>
      <c r="O84" s="362">
        <f t="shared" si="12"/>
        <v>34.549879518072295</v>
      </c>
      <c r="P84" s="362">
        <f t="shared" si="12"/>
        <v>14.472259570494867</v>
      </c>
      <c r="Q84" s="362">
        <f t="shared" si="12"/>
        <v>72.248520710059168</v>
      </c>
      <c r="R84" s="362">
        <f t="shared" si="12"/>
        <v>37.359597652975687</v>
      </c>
      <c r="S84" s="362" t="str">
        <f t="shared" si="12"/>
        <v/>
      </c>
      <c r="T84" s="362" t="str">
        <f t="shared" si="12"/>
        <v/>
      </c>
      <c r="U84" s="362" t="str">
        <f t="shared" si="12"/>
        <v/>
      </c>
      <c r="V84" s="362" t="str">
        <f>IF(V83&gt;0,V81/V83*100,"")</f>
        <v/>
      </c>
      <c r="W84" s="362" t="str">
        <f t="shared" si="12"/>
        <v/>
      </c>
      <c r="X84" s="363">
        <f>SUMIF(J83:W83,"&gt;0",J81:W81)/SUM(J83:W83)%</f>
        <v>30.93968433956482</v>
      </c>
      <c r="Y84" s="364" t="s">
        <v>495</v>
      </c>
      <c r="Z84" s="475">
        <f>SUM(J81:V81)/X81*100</f>
        <v>22.156897767347385</v>
      </c>
      <c r="AA84" s="476" t="s">
        <v>496</v>
      </c>
      <c r="AB84" s="476"/>
      <c r="AC84" s="477"/>
      <c r="AD84" s="453"/>
      <c r="AE84" s="453"/>
      <c r="AF84" s="453"/>
      <c r="AG84" s="453"/>
      <c r="AH84" s="453"/>
      <c r="AI84" s="453"/>
      <c r="AJ84" s="453"/>
      <c r="AK84" s="453"/>
      <c r="AL84" s="453"/>
      <c r="AM84" s="453"/>
      <c r="AN84" s="453"/>
      <c r="AO84" s="453"/>
      <c r="AP84" s="453"/>
      <c r="AQ84" s="453"/>
    </row>
    <row r="85" spans="1:44" ht="15" customHeight="1" thickBot="1" x14ac:dyDescent="0.3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</row>
    <row r="86" spans="1:44" ht="17.25" customHeight="1" x14ac:dyDescent="0.25">
      <c r="A86" s="478" t="s">
        <v>497</v>
      </c>
      <c r="B86" s="567" t="str">
        <f t="shared" ref="B86:W86" si="13">B7</f>
        <v xml:space="preserve">  LPG og petroleum</v>
      </c>
      <c r="C86" s="567" t="str">
        <f t="shared" si="13"/>
        <v xml:space="preserve">  Kul</v>
      </c>
      <c r="D86" s="567" t="str">
        <f t="shared" si="13"/>
        <v xml:space="preserve">  Fuelolie</v>
      </c>
      <c r="E86" s="567" t="str">
        <f t="shared" si="13"/>
        <v xml:space="preserve">  Brændselsolie</v>
      </c>
      <c r="F86" s="567" t="str">
        <f t="shared" si="13"/>
        <v xml:space="preserve">  Dieselolie</v>
      </c>
      <c r="G86" s="567" t="str">
        <f t="shared" si="13"/>
        <v xml:space="preserve">  JP1</v>
      </c>
      <c r="H86" s="567" t="str">
        <f t="shared" si="13"/>
        <v xml:space="preserve">  Benzin</v>
      </c>
      <c r="I86" s="567" t="str">
        <f t="shared" si="13"/>
        <v xml:space="preserve">  Naturgas</v>
      </c>
      <c r="J86" s="567" t="str">
        <f t="shared" si="13"/>
        <v xml:space="preserve">  Vindenergi</v>
      </c>
      <c r="K86" s="567" t="str">
        <f t="shared" si="13"/>
        <v xml:space="preserve">  Vandenergi</v>
      </c>
      <c r="L86" s="567" t="str">
        <f t="shared" si="13"/>
        <v xml:space="preserve">  Solenergi</v>
      </c>
      <c r="M86" s="567" t="str">
        <f t="shared" si="13"/>
        <v xml:space="preserve">  Geotermi</v>
      </c>
      <c r="N86" s="567" t="str">
        <f t="shared" si="13"/>
        <v xml:space="preserve">  Varmekilder til varmepumper</v>
      </c>
      <c r="O86" s="567" t="str">
        <f t="shared" si="13"/>
        <v xml:space="preserve">  Husdyrsgødning</v>
      </c>
      <c r="P86" s="567" t="str">
        <f t="shared" si="13"/>
        <v xml:space="preserve">  Biobrændstof og energiafgrøder</v>
      </c>
      <c r="Q86" s="567" t="str">
        <f t="shared" si="13"/>
        <v xml:space="preserve">  Halm</v>
      </c>
      <c r="R86" s="567" t="str">
        <f t="shared" si="13"/>
        <v xml:space="preserve">  Brænde og træflis</v>
      </c>
      <c r="S86" s="567" t="str">
        <f t="shared" si="13"/>
        <v xml:space="preserve">  Træpiller og træaffald</v>
      </c>
      <c r="T86" s="567" t="str">
        <f t="shared" si="13"/>
        <v xml:space="preserve">  Organisk affald, industri</v>
      </c>
      <c r="U86" s="567" t="str">
        <f t="shared" si="13"/>
        <v xml:space="preserve">  Organisk affald, husholdninger</v>
      </c>
      <c r="V86" s="567" t="str">
        <f t="shared" si="13"/>
        <v xml:space="preserve">  Deponi, slam, renseanlæg</v>
      </c>
      <c r="W86" s="572" t="str">
        <f t="shared" si="13"/>
        <v xml:space="preserve">  Affald, ikke bionedbrydeligt</v>
      </c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</row>
    <row r="87" spans="1:44" ht="24.6" x14ac:dyDescent="0.25">
      <c r="A87" s="479">
        <v>44</v>
      </c>
      <c r="B87" s="568"/>
      <c r="C87" s="568"/>
      <c r="D87" s="568"/>
      <c r="E87" s="568"/>
      <c r="F87" s="568"/>
      <c r="G87" s="568"/>
      <c r="H87" s="568"/>
      <c r="I87" s="568"/>
      <c r="J87" s="568"/>
      <c r="K87" s="568"/>
      <c r="L87" s="568"/>
      <c r="M87" s="568"/>
      <c r="N87" s="568"/>
      <c r="O87" s="568"/>
      <c r="P87" s="568"/>
      <c r="Q87" s="568"/>
      <c r="R87" s="568"/>
      <c r="S87" s="568"/>
      <c r="T87" s="568"/>
      <c r="U87" s="568"/>
      <c r="V87" s="568"/>
      <c r="W87" s="573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  <c r="AN87" s="74"/>
      <c r="AO87" s="74"/>
      <c r="AP87" s="74"/>
      <c r="AQ87" s="74"/>
    </row>
    <row r="88" spans="1:44" ht="123" customHeight="1" thickBot="1" x14ac:dyDescent="0.3">
      <c r="A88" s="480" t="s">
        <v>498</v>
      </c>
      <c r="B88" s="569"/>
      <c r="C88" s="569"/>
      <c r="D88" s="569"/>
      <c r="E88" s="569"/>
      <c r="F88" s="569"/>
      <c r="G88" s="569"/>
      <c r="H88" s="569"/>
      <c r="I88" s="569"/>
      <c r="J88" s="569"/>
      <c r="K88" s="569"/>
      <c r="L88" s="569"/>
      <c r="M88" s="569"/>
      <c r="N88" s="569"/>
      <c r="O88" s="569"/>
      <c r="P88" s="569"/>
      <c r="Q88" s="569"/>
      <c r="R88" s="569"/>
      <c r="S88" s="569"/>
      <c r="T88" s="569"/>
      <c r="U88" s="569"/>
      <c r="V88" s="569"/>
      <c r="W88" s="5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</row>
    <row r="89" spans="1:44" s="484" customFormat="1" ht="15" customHeight="1" thickBot="1" x14ac:dyDescent="0.35">
      <c r="A89" s="481">
        <v>124.12</v>
      </c>
      <c r="B89" s="376">
        <v>63.1</v>
      </c>
      <c r="C89" s="376">
        <v>94.95</v>
      </c>
      <c r="D89" s="376">
        <v>78.84</v>
      </c>
      <c r="E89" s="376">
        <v>74</v>
      </c>
      <c r="F89" s="376">
        <v>74</v>
      </c>
      <c r="G89" s="376">
        <v>72</v>
      </c>
      <c r="H89" s="376">
        <v>73</v>
      </c>
      <c r="I89" s="376">
        <v>57</v>
      </c>
      <c r="J89" s="377"/>
      <c r="K89" s="377"/>
      <c r="L89" s="377"/>
      <c r="M89" s="377"/>
      <c r="N89" s="482"/>
      <c r="O89" s="377"/>
      <c r="P89" s="377"/>
      <c r="Q89" s="377"/>
      <c r="R89" s="377"/>
      <c r="S89" s="377"/>
      <c r="T89" s="377"/>
      <c r="U89" s="377"/>
      <c r="V89" s="482"/>
      <c r="W89" s="483">
        <v>82.22</v>
      </c>
      <c r="X89" s="378" t="s">
        <v>394</v>
      </c>
      <c r="Y89" s="379"/>
      <c r="Z89" s="380"/>
      <c r="AA89" s="380"/>
      <c r="AB89" s="380"/>
      <c r="AC89" s="380"/>
      <c r="AD89" s="380"/>
      <c r="AE89" s="380"/>
      <c r="AF89" s="380"/>
      <c r="AG89" s="380"/>
      <c r="AH89" s="380"/>
      <c r="AI89" s="380"/>
      <c r="AJ89" s="380"/>
      <c r="AK89" s="380"/>
      <c r="AL89" s="380"/>
      <c r="AM89" s="380"/>
      <c r="AN89" s="380"/>
      <c r="AO89" s="380"/>
      <c r="AP89" s="380"/>
      <c r="AQ89" s="380"/>
    </row>
    <row r="90" spans="1:44" x14ac:dyDescent="0.25">
      <c r="A90" s="436"/>
      <c r="B90" s="436"/>
      <c r="C90" s="436"/>
      <c r="D90" s="436"/>
      <c r="E90" s="436"/>
      <c r="F90" s="436"/>
      <c r="G90" s="436"/>
      <c r="H90" s="436"/>
      <c r="I90" s="436"/>
      <c r="J90" s="436"/>
      <c r="K90" s="436"/>
      <c r="L90" s="436"/>
      <c r="M90" s="436"/>
      <c r="N90" s="436"/>
      <c r="O90" s="436"/>
      <c r="P90" s="436"/>
      <c r="Q90" s="436"/>
      <c r="R90" s="436"/>
      <c r="S90" s="436"/>
      <c r="T90" s="436"/>
      <c r="U90" s="436"/>
      <c r="V90" s="436"/>
      <c r="W90" s="436"/>
      <c r="X90" s="436"/>
      <c r="Y90" s="436"/>
      <c r="Z90" s="436"/>
      <c r="AA90" s="436"/>
      <c r="AB90" s="436"/>
      <c r="AC90" s="436"/>
      <c r="AD90" s="436"/>
      <c r="AE90" s="436"/>
      <c r="AF90" s="436"/>
      <c r="AG90" s="436"/>
      <c r="AH90" s="436"/>
      <c r="AI90" s="436"/>
      <c r="AJ90" s="436"/>
      <c r="AK90" s="436"/>
      <c r="AL90" s="436"/>
      <c r="AM90" s="436"/>
      <c r="AN90" s="436"/>
      <c r="AO90" s="436"/>
      <c r="AP90" s="436"/>
      <c r="AQ90" s="436"/>
      <c r="AR90" s="436"/>
    </row>
    <row r="91" spans="1:44" x14ac:dyDescent="0.25">
      <c r="Y91" s="436"/>
    </row>
    <row r="92" spans="1:44" x14ac:dyDescent="0.25">
      <c r="Y92" s="74"/>
    </row>
    <row r="93" spans="1:44" ht="12.75" customHeight="1" x14ac:dyDescent="0.4">
      <c r="A93" s="485"/>
      <c r="Y93" s="436"/>
    </row>
    <row r="95" spans="1:44" x14ac:dyDescent="0.25">
      <c r="Y95" s="436"/>
    </row>
    <row r="96" spans="1:44" x14ac:dyDescent="0.25">
      <c r="Y96" s="436"/>
    </row>
  </sheetData>
  <mergeCells count="30">
    <mergeCell ref="D1:E1"/>
    <mergeCell ref="Y1:Y2"/>
    <mergeCell ref="Y3:Y4"/>
    <mergeCell ref="A6:X6"/>
    <mergeCell ref="Z6:AC6"/>
    <mergeCell ref="O86:O88"/>
    <mergeCell ref="AF6:AG6"/>
    <mergeCell ref="AI6:AQ6"/>
    <mergeCell ref="B86:B88"/>
    <mergeCell ref="C86:C88"/>
    <mergeCell ref="D86:D88"/>
    <mergeCell ref="E86:E88"/>
    <mergeCell ref="F86:F88"/>
    <mergeCell ref="G86:G88"/>
    <mergeCell ref="H86:H88"/>
    <mergeCell ref="I86:I88"/>
    <mergeCell ref="AD6:AE6"/>
    <mergeCell ref="J86:J88"/>
    <mergeCell ref="K86:K88"/>
    <mergeCell ref="L86:L88"/>
    <mergeCell ref="M86:M88"/>
    <mergeCell ref="N86:N88"/>
    <mergeCell ref="V86:V88"/>
    <mergeCell ref="W86:W88"/>
    <mergeCell ref="P86:P88"/>
    <mergeCell ref="Q86:Q88"/>
    <mergeCell ref="R86:R88"/>
    <mergeCell ref="S86:S88"/>
    <mergeCell ref="T86:T88"/>
    <mergeCell ref="U86:U88"/>
  </mergeCells>
  <printOptions horizontalCentered="1" verticalCentered="1" gridLines="1"/>
  <pageMargins left="0.19685039370078741" right="0.19685039370078741" top="0.98425196850393704" bottom="0.55118110236220474" header="0" footer="0"/>
  <pageSetup paperSize="8" scale="48" orientation="landscape" r:id="rId1"/>
  <headerFooter alignWithMargins="0">
    <oddFooter>&amp;R&amp;F &amp;T &amp;D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BA4BA-438E-410E-B32D-09BCF04C93E0}">
  <dimension ref="A1:BA96"/>
  <sheetViews>
    <sheetView workbookViewId="0">
      <selection activeCell="Y14" sqref="Y14"/>
    </sheetView>
  </sheetViews>
  <sheetFormatPr defaultColWidth="9.109375" defaultRowHeight="13.2" x14ac:dyDescent="0.25"/>
  <cols>
    <col min="1" max="23" width="7.109375" style="337" customWidth="1"/>
    <col min="24" max="24" width="8.6640625" style="337" customWidth="1"/>
    <col min="25" max="25" width="52.109375" style="337" bestFit="1" customWidth="1"/>
    <col min="26" max="29" width="5.6640625" style="337" customWidth="1"/>
    <col min="30" max="34" width="8.6640625" style="337" customWidth="1"/>
    <col min="35" max="43" width="7.109375" style="337" customWidth="1"/>
    <col min="44" max="16384" width="9.109375" style="337"/>
  </cols>
  <sheetData>
    <row r="1" spans="1:53" ht="15" customHeight="1" x14ac:dyDescent="0.25">
      <c r="A1" s="335" t="s">
        <v>355</v>
      </c>
      <c r="B1" s="336"/>
      <c r="C1" s="336"/>
      <c r="D1" s="570">
        <v>83738</v>
      </c>
      <c r="E1" s="571"/>
      <c r="F1" s="74"/>
      <c r="G1" s="74"/>
      <c r="H1" s="74"/>
      <c r="I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338"/>
      <c r="W1" s="338"/>
      <c r="X1" s="338"/>
      <c r="Y1" s="577" t="s">
        <v>356</v>
      </c>
      <c r="Z1" s="338"/>
      <c r="AA1" s="338"/>
      <c r="AB1" s="338"/>
      <c r="AC1" s="338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</row>
    <row r="2" spans="1:53" ht="15" customHeight="1" x14ac:dyDescent="0.25">
      <c r="A2" s="339" t="s">
        <v>405</v>
      </c>
      <c r="B2" s="74"/>
      <c r="C2" s="74"/>
      <c r="D2" s="486">
        <v>92.61</v>
      </c>
      <c r="E2" s="341" t="s">
        <v>406</v>
      </c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338"/>
      <c r="W2" s="338"/>
      <c r="X2" s="338"/>
      <c r="Y2" s="577"/>
      <c r="Z2" s="338"/>
      <c r="AA2" s="338"/>
      <c r="AB2" s="338"/>
      <c r="AC2" s="338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</row>
    <row r="3" spans="1:53" ht="15" customHeight="1" thickBot="1" x14ac:dyDescent="0.3">
      <c r="A3" s="342" t="s">
        <v>357</v>
      </c>
      <c r="B3" s="343"/>
      <c r="C3" s="343"/>
      <c r="D3" s="343" t="s">
        <v>358</v>
      </c>
      <c r="E3" s="34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338"/>
      <c r="W3" s="338"/>
      <c r="X3" s="579" t="s">
        <v>402</v>
      </c>
      <c r="Y3" s="579"/>
      <c r="Z3" s="579"/>
      <c r="AA3" s="338"/>
      <c r="AB3" s="338"/>
      <c r="AC3" s="338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</row>
    <row r="4" spans="1:53" ht="15" customHeight="1" x14ac:dyDescent="0.25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338"/>
      <c r="W4" s="338"/>
      <c r="X4" s="579"/>
      <c r="Y4" s="579"/>
      <c r="Z4" s="579"/>
      <c r="AA4" s="338"/>
      <c r="AB4" s="338"/>
      <c r="AC4" s="338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</row>
    <row r="5" spans="1:53" ht="15" customHeight="1" x14ac:dyDescent="0.25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</row>
    <row r="6" spans="1:53" ht="15" customHeight="1" x14ac:dyDescent="0.3">
      <c r="A6" s="566" t="s">
        <v>407</v>
      </c>
      <c r="B6" s="566"/>
      <c r="C6" s="566"/>
      <c r="D6" s="566"/>
      <c r="E6" s="566"/>
      <c r="F6" s="566"/>
      <c r="G6" s="566"/>
      <c r="H6" s="566"/>
      <c r="I6" s="566"/>
      <c r="J6" s="566"/>
      <c r="K6" s="566"/>
      <c r="L6" s="566"/>
      <c r="M6" s="566"/>
      <c r="N6" s="566"/>
      <c r="O6" s="566"/>
      <c r="P6" s="566"/>
      <c r="Q6" s="566"/>
      <c r="R6" s="566"/>
      <c r="S6" s="566"/>
      <c r="T6" s="566"/>
      <c r="U6" s="566"/>
      <c r="V6" s="566"/>
      <c r="W6" s="566"/>
      <c r="X6" s="566"/>
      <c r="Y6" s="345" t="s">
        <v>408</v>
      </c>
      <c r="Z6" s="566" t="s">
        <v>409</v>
      </c>
      <c r="AA6" s="566"/>
      <c r="AB6" s="566"/>
      <c r="AC6" s="566"/>
      <c r="AD6" s="566" t="s">
        <v>410</v>
      </c>
      <c r="AE6" s="566"/>
      <c r="AF6" s="566" t="s">
        <v>411</v>
      </c>
      <c r="AG6" s="566"/>
      <c r="AH6" s="346"/>
      <c r="AI6" s="566" t="s">
        <v>412</v>
      </c>
      <c r="AJ6" s="566"/>
      <c r="AK6" s="566"/>
      <c r="AL6" s="566"/>
      <c r="AM6" s="566"/>
      <c r="AN6" s="566"/>
      <c r="AO6" s="566"/>
      <c r="AP6" s="566"/>
      <c r="AQ6" s="566"/>
    </row>
    <row r="7" spans="1:53" s="422" customFormat="1" ht="159.9" customHeight="1" thickBot="1" x14ac:dyDescent="0.8">
      <c r="A7" s="414" t="s">
        <v>413</v>
      </c>
      <c r="B7" s="415" t="s">
        <v>360</v>
      </c>
      <c r="C7" s="415" t="s">
        <v>361</v>
      </c>
      <c r="D7" s="415" t="s">
        <v>362</v>
      </c>
      <c r="E7" s="415" t="s">
        <v>363</v>
      </c>
      <c r="F7" s="415" t="s">
        <v>364</v>
      </c>
      <c r="G7" s="415" t="s">
        <v>365</v>
      </c>
      <c r="H7" s="415" t="s">
        <v>366</v>
      </c>
      <c r="I7" s="415" t="s">
        <v>367</v>
      </c>
      <c r="J7" s="415" t="s">
        <v>414</v>
      </c>
      <c r="K7" s="415" t="s">
        <v>415</v>
      </c>
      <c r="L7" s="415" t="s">
        <v>416</v>
      </c>
      <c r="M7" s="415" t="s">
        <v>417</v>
      </c>
      <c r="N7" s="415" t="s">
        <v>418</v>
      </c>
      <c r="O7" s="415" t="s">
        <v>419</v>
      </c>
      <c r="P7" s="415" t="s">
        <v>368</v>
      </c>
      <c r="Q7" s="415" t="s">
        <v>420</v>
      </c>
      <c r="R7" s="415" t="s">
        <v>421</v>
      </c>
      <c r="S7" s="415" t="s">
        <v>422</v>
      </c>
      <c r="T7" s="415" t="s">
        <v>423</v>
      </c>
      <c r="U7" s="415" t="s">
        <v>424</v>
      </c>
      <c r="V7" s="415" t="s">
        <v>425</v>
      </c>
      <c r="W7" s="415" t="s">
        <v>426</v>
      </c>
      <c r="X7" s="416" t="s">
        <v>369</v>
      </c>
      <c r="Y7" s="417"/>
      <c r="Z7" s="418" t="s">
        <v>370</v>
      </c>
      <c r="AA7" s="415" t="s">
        <v>371</v>
      </c>
      <c r="AB7" s="415" t="s">
        <v>372</v>
      </c>
      <c r="AC7" s="416" t="s">
        <v>373</v>
      </c>
      <c r="AD7" s="414" t="s">
        <v>427</v>
      </c>
      <c r="AE7" s="416" t="s">
        <v>428</v>
      </c>
      <c r="AF7" s="414" t="s">
        <v>427</v>
      </c>
      <c r="AG7" s="416" t="s">
        <v>428</v>
      </c>
      <c r="AH7" s="419" t="s">
        <v>374</v>
      </c>
      <c r="AI7" s="420" t="s">
        <v>375</v>
      </c>
      <c r="AJ7" s="415" t="s">
        <v>376</v>
      </c>
      <c r="AK7" s="415" t="s">
        <v>377</v>
      </c>
      <c r="AL7" s="415" t="s">
        <v>378</v>
      </c>
      <c r="AM7" s="415" t="s">
        <v>379</v>
      </c>
      <c r="AN7" s="415" t="s">
        <v>380</v>
      </c>
      <c r="AO7" s="421" t="s">
        <v>381</v>
      </c>
      <c r="AP7" s="421" t="s">
        <v>382</v>
      </c>
      <c r="AQ7" s="416" t="s">
        <v>383</v>
      </c>
    </row>
    <row r="8" spans="1:53" ht="15" customHeight="1" x14ac:dyDescent="0.3">
      <c r="A8" s="347"/>
      <c r="B8" s="348"/>
      <c r="C8" s="348"/>
      <c r="D8" s="348"/>
      <c r="E8" s="348"/>
      <c r="F8" s="348"/>
      <c r="G8" s="348"/>
      <c r="H8" s="348"/>
      <c r="I8" s="348"/>
      <c r="J8" s="348"/>
      <c r="K8" s="348"/>
      <c r="L8" s="348"/>
      <c r="M8" s="348"/>
      <c r="N8" s="348"/>
      <c r="O8" s="348"/>
      <c r="P8" s="348"/>
      <c r="Q8" s="348"/>
      <c r="R8" s="348"/>
      <c r="S8" s="348"/>
      <c r="T8" s="348"/>
      <c r="U8" s="348"/>
      <c r="V8" s="348"/>
      <c r="W8" s="348"/>
      <c r="X8" s="352">
        <f t="shared" ref="X8:X80" si="0">SUM(A8:W8)</f>
        <v>0</v>
      </c>
      <c r="Y8" s="121" t="s">
        <v>429</v>
      </c>
      <c r="Z8" s="347"/>
      <c r="AA8" s="348">
        <v>44</v>
      </c>
      <c r="AB8" s="348"/>
      <c r="AC8" s="352"/>
      <c r="AD8" s="347">
        <f t="shared" ref="AD8:AD14" si="1">-AE8/$D$2%</f>
        <v>-78.506149934721364</v>
      </c>
      <c r="AE8" s="423">
        <f>AH8/AA8%</f>
        <v>72.704545454545453</v>
      </c>
      <c r="AF8" s="424"/>
      <c r="AG8" s="423"/>
      <c r="AH8" s="425">
        <f t="shared" ref="AH8:AH14" si="2">SUM(AI8:AQ8)</f>
        <v>31.99</v>
      </c>
      <c r="AI8" s="410">
        <v>31.99</v>
      </c>
      <c r="AJ8" s="305">
        <v>0</v>
      </c>
      <c r="AK8" s="305">
        <v>0</v>
      </c>
      <c r="AL8" s="305">
        <v>0</v>
      </c>
      <c r="AM8" s="305">
        <v>0</v>
      </c>
      <c r="AN8" s="305">
        <v>0</v>
      </c>
      <c r="AO8" s="305">
        <v>0</v>
      </c>
      <c r="AP8" s="305">
        <v>0</v>
      </c>
      <c r="AQ8" s="293">
        <v>0</v>
      </c>
      <c r="AR8" s="487"/>
      <c r="AS8" s="453"/>
      <c r="AT8" s="453"/>
      <c r="AU8" s="453"/>
      <c r="AV8" s="453"/>
      <c r="AW8" s="453"/>
      <c r="AX8" s="453"/>
      <c r="AY8" s="453"/>
      <c r="AZ8" s="453"/>
      <c r="BA8" s="453"/>
    </row>
    <row r="9" spans="1:53" ht="15" customHeight="1" x14ac:dyDescent="0.3">
      <c r="A9" s="347"/>
      <c r="B9" s="348"/>
      <c r="C9" s="348"/>
      <c r="D9" s="348"/>
      <c r="E9" s="348"/>
      <c r="F9" s="348"/>
      <c r="G9" s="348"/>
      <c r="H9" s="348"/>
      <c r="I9" s="348"/>
      <c r="J9" s="348"/>
      <c r="K9" s="348"/>
      <c r="L9" s="348"/>
      <c r="M9" s="348"/>
      <c r="N9" s="348"/>
      <c r="O9" s="348"/>
      <c r="P9" s="348"/>
      <c r="Q9" s="348"/>
      <c r="R9" s="348"/>
      <c r="S9" s="348"/>
      <c r="T9" s="348"/>
      <c r="U9" s="348"/>
      <c r="V9" s="348"/>
      <c r="W9" s="348"/>
      <c r="X9" s="352">
        <f t="shared" si="0"/>
        <v>0</v>
      </c>
      <c r="Y9" s="121" t="s">
        <v>430</v>
      </c>
      <c r="Z9" s="347"/>
      <c r="AA9" s="348"/>
      <c r="AB9" s="348">
        <v>90</v>
      </c>
      <c r="AC9" s="352"/>
      <c r="AD9" s="347">
        <f t="shared" si="1"/>
        <v>-9.730170727903154</v>
      </c>
      <c r="AE9" s="423">
        <f>AH9/AB9%</f>
        <v>9.0111111111111111</v>
      </c>
      <c r="AF9" s="424"/>
      <c r="AG9" s="423"/>
      <c r="AH9" s="425">
        <f t="shared" si="2"/>
        <v>8.11</v>
      </c>
      <c r="AI9" s="488">
        <v>8.11</v>
      </c>
      <c r="AJ9" s="305">
        <v>0</v>
      </c>
      <c r="AK9" s="305">
        <v>0</v>
      </c>
      <c r="AL9" s="305">
        <v>0</v>
      </c>
      <c r="AM9" s="305">
        <v>0</v>
      </c>
      <c r="AN9" s="305">
        <v>0</v>
      </c>
      <c r="AO9" s="305">
        <v>0</v>
      </c>
      <c r="AP9" s="305">
        <v>0</v>
      </c>
      <c r="AQ9" s="293">
        <v>0</v>
      </c>
      <c r="AR9" s="487"/>
      <c r="AS9" s="453"/>
      <c r="AT9" s="453"/>
      <c r="AU9" s="453"/>
      <c r="AV9" s="453"/>
      <c r="AW9" s="453"/>
      <c r="AX9" s="453"/>
      <c r="AY9" s="453"/>
      <c r="AZ9" s="453"/>
      <c r="BA9" s="453"/>
    </row>
    <row r="10" spans="1:53" ht="15" customHeight="1" x14ac:dyDescent="0.3">
      <c r="A10" s="347"/>
      <c r="B10" s="348"/>
      <c r="C10" s="348"/>
      <c r="D10" s="348"/>
      <c r="E10" s="348"/>
      <c r="F10" s="348"/>
      <c r="G10" s="348"/>
      <c r="H10" s="348"/>
      <c r="I10" s="348"/>
      <c r="J10" s="348"/>
      <c r="K10" s="348"/>
      <c r="L10" s="348"/>
      <c r="M10" s="348"/>
      <c r="N10" s="348"/>
      <c r="O10" s="348"/>
      <c r="P10" s="348"/>
      <c r="Q10" s="348"/>
      <c r="R10" s="348"/>
      <c r="S10" s="348"/>
      <c r="T10" s="348"/>
      <c r="U10" s="348"/>
      <c r="V10" s="348"/>
      <c r="W10" s="348"/>
      <c r="X10" s="352">
        <f t="shared" si="0"/>
        <v>0</v>
      </c>
      <c r="Y10" s="121" t="s">
        <v>431</v>
      </c>
      <c r="Z10" s="347"/>
      <c r="AA10" s="348"/>
      <c r="AB10" s="348">
        <v>100</v>
      </c>
      <c r="AC10" s="352"/>
      <c r="AD10" s="347">
        <f t="shared" si="1"/>
        <v>-41.269841269841265</v>
      </c>
      <c r="AE10" s="423">
        <f>AH10/AB10%</f>
        <v>38.22</v>
      </c>
      <c r="AF10" s="424"/>
      <c r="AG10" s="423"/>
      <c r="AH10" s="425">
        <f t="shared" si="2"/>
        <v>38.22</v>
      </c>
      <c r="AI10" s="488">
        <v>38.22</v>
      </c>
      <c r="AJ10" s="305">
        <v>0</v>
      </c>
      <c r="AK10" s="305">
        <v>0</v>
      </c>
      <c r="AL10" s="305">
        <v>0</v>
      </c>
      <c r="AM10" s="305">
        <v>0</v>
      </c>
      <c r="AN10" s="305">
        <v>0</v>
      </c>
      <c r="AO10" s="305">
        <v>0</v>
      </c>
      <c r="AP10" s="305">
        <v>0</v>
      </c>
      <c r="AQ10" s="293">
        <v>0</v>
      </c>
      <c r="AR10" s="487"/>
      <c r="AS10" s="453"/>
      <c r="AT10" s="453"/>
      <c r="AU10" s="453"/>
      <c r="AV10" s="453"/>
      <c r="AW10" s="453"/>
      <c r="AX10" s="453"/>
      <c r="AY10" s="453"/>
      <c r="AZ10" s="453"/>
      <c r="BA10" s="453"/>
    </row>
    <row r="11" spans="1:53" ht="15" customHeight="1" x14ac:dyDescent="0.3">
      <c r="A11" s="347"/>
      <c r="B11" s="348"/>
      <c r="C11" s="348"/>
      <c r="D11" s="348"/>
      <c r="E11" s="348"/>
      <c r="F11" s="348"/>
      <c r="G11" s="348"/>
      <c r="H11" s="348"/>
      <c r="I11" s="348"/>
      <c r="J11" s="348"/>
      <c r="K11" s="348"/>
      <c r="L11" s="348"/>
      <c r="M11" s="348"/>
      <c r="N11" s="348"/>
      <c r="O11" s="348"/>
      <c r="P11" s="348"/>
      <c r="Q11" s="348"/>
      <c r="R11" s="348"/>
      <c r="S11" s="348"/>
      <c r="T11" s="348"/>
      <c r="U11" s="348"/>
      <c r="V11" s="348"/>
      <c r="W11" s="348"/>
      <c r="X11" s="352">
        <f t="shared" si="0"/>
        <v>0</v>
      </c>
      <c r="Y11" s="121" t="s">
        <v>432</v>
      </c>
      <c r="Z11" s="347"/>
      <c r="AA11" s="348">
        <v>50</v>
      </c>
      <c r="AB11" s="348"/>
      <c r="AC11" s="352"/>
      <c r="AD11" s="347">
        <f t="shared" si="1"/>
        <v>-339.29381276320055</v>
      </c>
      <c r="AE11" s="423">
        <f>AH11/AA11%</f>
        <v>314.22000000000003</v>
      </c>
      <c r="AF11" s="424"/>
      <c r="AG11" s="423"/>
      <c r="AH11" s="425">
        <f t="shared" si="2"/>
        <v>157.11000000000001</v>
      </c>
      <c r="AI11" s="488">
        <v>36.35</v>
      </c>
      <c r="AJ11" s="305">
        <v>39.31</v>
      </c>
      <c r="AK11" s="305">
        <v>10.029999999999999</v>
      </c>
      <c r="AL11" s="305">
        <v>22.06</v>
      </c>
      <c r="AM11" s="305">
        <v>0.24</v>
      </c>
      <c r="AN11" s="305">
        <v>25.48</v>
      </c>
      <c r="AO11" s="305">
        <v>0.72</v>
      </c>
      <c r="AP11" s="305">
        <v>22.92</v>
      </c>
      <c r="AQ11" s="293">
        <v>0</v>
      </c>
      <c r="AR11" s="487"/>
      <c r="AS11" s="453"/>
      <c r="AT11" s="453"/>
      <c r="AU11" s="453"/>
      <c r="AV11" s="453"/>
      <c r="AW11" s="453"/>
      <c r="AX11" s="453"/>
      <c r="AY11" s="453"/>
      <c r="AZ11" s="453"/>
      <c r="BA11" s="453"/>
    </row>
    <row r="12" spans="1:53" ht="15" customHeight="1" x14ac:dyDescent="0.3">
      <c r="A12" s="347"/>
      <c r="B12" s="348"/>
      <c r="C12" s="348"/>
      <c r="D12" s="348"/>
      <c r="E12" s="348"/>
      <c r="F12" s="348"/>
      <c r="G12" s="348"/>
      <c r="H12" s="348"/>
      <c r="I12" s="348"/>
      <c r="J12" s="348"/>
      <c r="K12" s="348"/>
      <c r="L12" s="348"/>
      <c r="M12" s="348"/>
      <c r="N12" s="348"/>
      <c r="O12" s="348"/>
      <c r="P12" s="348"/>
      <c r="Q12" s="348"/>
      <c r="R12" s="348"/>
      <c r="S12" s="348"/>
      <c r="T12" s="348"/>
      <c r="U12" s="348"/>
      <c r="V12" s="348"/>
      <c r="W12" s="348"/>
      <c r="X12" s="352">
        <f t="shared" si="0"/>
        <v>0</v>
      </c>
      <c r="Y12" s="121" t="s">
        <v>433</v>
      </c>
      <c r="Z12" s="347"/>
      <c r="AA12" s="348">
        <v>150</v>
      </c>
      <c r="AB12" s="348"/>
      <c r="AC12" s="352"/>
      <c r="AD12" s="347">
        <f t="shared" si="1"/>
        <v>-254.572940287226</v>
      </c>
      <c r="AE12" s="423">
        <f>AH12/AA12%</f>
        <v>235.76000000000002</v>
      </c>
      <c r="AF12" s="424"/>
      <c r="AG12" s="423"/>
      <c r="AH12" s="425">
        <f t="shared" si="2"/>
        <v>353.64000000000004</v>
      </c>
      <c r="AI12" s="488">
        <v>128.74</v>
      </c>
      <c r="AJ12" s="305">
        <v>0</v>
      </c>
      <c r="AK12" s="305">
        <v>33.71</v>
      </c>
      <c r="AL12" s="305">
        <v>74.13</v>
      </c>
      <c r="AM12" s="305">
        <v>0.96</v>
      </c>
      <c r="AN12" s="305">
        <v>101.92</v>
      </c>
      <c r="AO12" s="305">
        <v>0.43</v>
      </c>
      <c r="AP12" s="305">
        <v>13.75</v>
      </c>
      <c r="AQ12" s="293">
        <v>0</v>
      </c>
      <c r="AR12" s="487"/>
      <c r="AS12" s="453"/>
      <c r="AT12" s="453"/>
      <c r="AU12" s="453"/>
      <c r="AV12" s="453"/>
      <c r="AW12" s="453"/>
      <c r="AX12" s="453"/>
      <c r="AY12" s="453"/>
      <c r="AZ12" s="453"/>
      <c r="BA12" s="453"/>
    </row>
    <row r="13" spans="1:53" ht="15" customHeight="1" x14ac:dyDescent="0.3">
      <c r="A13" s="347"/>
      <c r="B13" s="348"/>
      <c r="C13" s="348"/>
      <c r="D13" s="348"/>
      <c r="E13" s="348"/>
      <c r="F13" s="348"/>
      <c r="G13" s="348"/>
      <c r="H13" s="348"/>
      <c r="I13" s="348"/>
      <c r="J13" s="348"/>
      <c r="K13" s="348"/>
      <c r="L13" s="348"/>
      <c r="M13" s="348"/>
      <c r="N13" s="348"/>
      <c r="O13" s="348"/>
      <c r="P13" s="348"/>
      <c r="Q13" s="348"/>
      <c r="R13" s="348"/>
      <c r="S13" s="348"/>
      <c r="T13" s="348"/>
      <c r="U13" s="348"/>
      <c r="V13" s="348"/>
      <c r="W13" s="348"/>
      <c r="X13" s="352">
        <f t="shared" si="0"/>
        <v>0</v>
      </c>
      <c r="Y13" s="121" t="s">
        <v>434</v>
      </c>
      <c r="Z13" s="347"/>
      <c r="AA13" s="348">
        <v>85</v>
      </c>
      <c r="AB13" s="348"/>
      <c r="AC13" s="352"/>
      <c r="AD13" s="347">
        <f t="shared" si="1"/>
        <v>-1691.8513437120878</v>
      </c>
      <c r="AE13" s="423">
        <f>AH13/AA13%</f>
        <v>1566.8235294117646</v>
      </c>
      <c r="AF13" s="424"/>
      <c r="AG13" s="423"/>
      <c r="AH13" s="425">
        <f t="shared" si="2"/>
        <v>1331.8</v>
      </c>
      <c r="AI13" s="488">
        <v>202.12</v>
      </c>
      <c r="AJ13" s="305">
        <v>180.68</v>
      </c>
      <c r="AK13" s="305">
        <v>32.06</v>
      </c>
      <c r="AL13" s="305">
        <v>70.510000000000005</v>
      </c>
      <c r="AM13" s="305">
        <v>5.82</v>
      </c>
      <c r="AN13" s="305">
        <v>620.87</v>
      </c>
      <c r="AO13" s="305">
        <v>6.7</v>
      </c>
      <c r="AP13" s="305">
        <v>213</v>
      </c>
      <c r="AQ13" s="293">
        <v>0.04</v>
      </c>
      <c r="AR13" s="487"/>
      <c r="AS13" s="453"/>
      <c r="AT13" s="453"/>
      <c r="AU13" s="453"/>
      <c r="AV13" s="453"/>
      <c r="AW13" s="453"/>
      <c r="AX13" s="453"/>
      <c r="AY13" s="453"/>
      <c r="AZ13" s="453"/>
      <c r="BA13" s="453"/>
    </row>
    <row r="14" spans="1:53" ht="15" customHeight="1" x14ac:dyDescent="0.3">
      <c r="A14" s="347"/>
      <c r="B14" s="410"/>
      <c r="C14" s="348"/>
      <c r="D14" s="348"/>
      <c r="E14" s="348"/>
      <c r="F14" s="348"/>
      <c r="G14" s="348"/>
      <c r="H14" s="348"/>
      <c r="I14" s="348"/>
      <c r="J14" s="348"/>
      <c r="K14" s="348"/>
      <c r="L14" s="348"/>
      <c r="M14" s="348"/>
      <c r="N14" s="348">
        <f>AH14-AE14</f>
        <v>0</v>
      </c>
      <c r="O14" s="348"/>
      <c r="P14" s="348"/>
      <c r="Q14" s="348"/>
      <c r="R14" s="348"/>
      <c r="S14" s="348"/>
      <c r="T14" s="348"/>
      <c r="U14" s="348"/>
      <c r="V14" s="348"/>
      <c r="W14" s="348"/>
      <c r="X14" s="352">
        <f t="shared" si="0"/>
        <v>0</v>
      </c>
      <c r="Y14" s="121" t="s">
        <v>435</v>
      </c>
      <c r="Z14" s="347"/>
      <c r="AA14" s="348"/>
      <c r="AB14" s="348">
        <v>250</v>
      </c>
      <c r="AC14" s="352"/>
      <c r="AD14" s="347">
        <f t="shared" si="1"/>
        <v>0</v>
      </c>
      <c r="AE14" s="293">
        <v>0</v>
      </c>
      <c r="AF14" s="424"/>
      <c r="AG14" s="423"/>
      <c r="AH14" s="425">
        <f t="shared" si="2"/>
        <v>0</v>
      </c>
      <c r="AI14" s="428">
        <f>AE14*AB14/100</f>
        <v>0</v>
      </c>
      <c r="AJ14" s="410"/>
      <c r="AK14" s="410"/>
      <c r="AL14" s="410"/>
      <c r="AM14" s="410"/>
      <c r="AN14" s="410"/>
      <c r="AO14" s="410"/>
      <c r="AP14" s="410"/>
      <c r="AQ14" s="423"/>
      <c r="AR14" s="489"/>
      <c r="AV14" s="429"/>
    </row>
    <row r="15" spans="1:53" ht="15" customHeight="1" x14ac:dyDescent="0.25">
      <c r="A15" s="347">
        <f>Z15%*AD15</f>
        <v>2339.55625869498</v>
      </c>
      <c r="B15" s="410"/>
      <c r="C15" s="348"/>
      <c r="D15" s="348"/>
      <c r="E15" s="348"/>
      <c r="F15" s="348"/>
      <c r="G15" s="348"/>
      <c r="H15" s="348"/>
      <c r="I15" s="348"/>
      <c r="J15" s="348"/>
      <c r="K15" s="348"/>
      <c r="L15" s="348"/>
      <c r="M15" s="348"/>
      <c r="N15" s="348"/>
      <c r="O15" s="348"/>
      <c r="P15" s="348"/>
      <c r="Q15" s="348"/>
      <c r="R15" s="348"/>
      <c r="S15" s="348"/>
      <c r="T15" s="348"/>
      <c r="U15" s="348"/>
      <c r="V15" s="348"/>
      <c r="W15" s="348"/>
      <c r="X15" s="352">
        <f t="shared" si="0"/>
        <v>2339.55625869498</v>
      </c>
      <c r="Y15" s="121" t="s">
        <v>436</v>
      </c>
      <c r="Z15" s="347">
        <v>100</v>
      </c>
      <c r="AA15" s="348"/>
      <c r="AB15" s="348"/>
      <c r="AC15" s="352"/>
      <c r="AD15" s="347">
        <f>-SUM(AD16:AD80,AD8:AD14)</f>
        <v>2339.55625869498</v>
      </c>
      <c r="AE15" s="423"/>
      <c r="AF15" s="424"/>
      <c r="AG15" s="423"/>
      <c r="AH15" s="425">
        <f t="shared" ref="AH15:AH52" si="3">SUM(AI15:AQ15)</f>
        <v>0</v>
      </c>
      <c r="AI15" s="424"/>
      <c r="AJ15" s="410"/>
      <c r="AK15" s="410"/>
      <c r="AL15" s="410"/>
      <c r="AM15" s="410"/>
      <c r="AN15" s="410"/>
      <c r="AO15" s="410"/>
      <c r="AP15" s="410"/>
      <c r="AQ15" s="423"/>
      <c r="AR15" s="489"/>
      <c r="AV15" s="429"/>
    </row>
    <row r="16" spans="1:53" ht="15" customHeight="1" x14ac:dyDescent="0.3">
      <c r="A16" s="374"/>
      <c r="B16" s="490">
        <v>152.43</v>
      </c>
      <c r="C16" s="375"/>
      <c r="D16" s="375"/>
      <c r="E16" s="432"/>
      <c r="F16" s="432"/>
      <c r="G16" s="432"/>
      <c r="H16" s="432"/>
      <c r="I16" s="432"/>
      <c r="J16" s="375"/>
      <c r="K16" s="375"/>
      <c r="L16" s="375"/>
      <c r="M16" s="375"/>
      <c r="N16" s="375"/>
      <c r="O16" s="375"/>
      <c r="P16" s="375"/>
      <c r="Q16" s="375"/>
      <c r="R16" s="375"/>
      <c r="S16" s="375"/>
      <c r="T16" s="375"/>
      <c r="U16" s="375"/>
      <c r="V16" s="375"/>
      <c r="W16" s="375"/>
      <c r="X16" s="351">
        <f t="shared" si="0"/>
        <v>152.43</v>
      </c>
      <c r="Y16" s="124" t="s">
        <v>437</v>
      </c>
      <c r="Z16" s="374"/>
      <c r="AA16" s="375"/>
      <c r="AB16" s="432">
        <v>38</v>
      </c>
      <c r="AC16" s="351"/>
      <c r="AD16" s="374"/>
      <c r="AE16" s="351"/>
      <c r="AF16" s="374"/>
      <c r="AG16" s="351"/>
      <c r="AH16" s="353">
        <f t="shared" si="3"/>
        <v>57.801760860000002</v>
      </c>
      <c r="AI16" s="491">
        <f>X16*AB16/100*0.158</f>
        <v>9.1518972000000005</v>
      </c>
      <c r="AJ16" s="492">
        <f>X16*AB16/100*0.0067</f>
        <v>0.38808678000000002</v>
      </c>
      <c r="AK16" s="492">
        <f>X16*AB16/100*0.01</f>
        <v>0.57923400000000003</v>
      </c>
      <c r="AL16" s="492">
        <f>X16*AB16/100*0.0022</f>
        <v>0.12743148000000001</v>
      </c>
      <c r="AM16" s="492">
        <f>X16*AB16/100*0.118</f>
        <v>6.8349611999999995</v>
      </c>
      <c r="AN16" s="492">
        <f>X16*AB16/100*0.479</f>
        <v>27.745308599999998</v>
      </c>
      <c r="AO16" s="492"/>
      <c r="AP16" s="492">
        <f>X16*AB16/100*0.115</f>
        <v>6.6611910000000005</v>
      </c>
      <c r="AQ16" s="493">
        <f>X16*AB16/100*0.109</f>
        <v>6.3136505999999999</v>
      </c>
      <c r="AV16" s="429"/>
    </row>
    <row r="17" spans="1:48" ht="15" customHeight="1" x14ac:dyDescent="0.3">
      <c r="A17" s="347"/>
      <c r="B17" s="410"/>
      <c r="C17" s="348"/>
      <c r="D17" s="348"/>
      <c r="E17" s="305">
        <v>2177.5100000000002</v>
      </c>
      <c r="F17" s="410"/>
      <c r="G17" s="410"/>
      <c r="H17" s="410"/>
      <c r="I17" s="410"/>
      <c r="J17" s="348"/>
      <c r="K17" s="348"/>
      <c r="L17" s="348"/>
      <c r="M17" s="348"/>
      <c r="N17" s="410"/>
      <c r="O17" s="410"/>
      <c r="P17" s="410"/>
      <c r="Q17" s="410"/>
      <c r="R17" s="410"/>
      <c r="S17" s="410"/>
      <c r="T17" s="410"/>
      <c r="U17" s="410"/>
      <c r="V17" s="410"/>
      <c r="W17" s="410"/>
      <c r="X17" s="352">
        <f t="shared" si="0"/>
        <v>2177.5100000000002</v>
      </c>
      <c r="Y17" s="121" t="s">
        <v>438</v>
      </c>
      <c r="Z17" s="347"/>
      <c r="AA17" s="348"/>
      <c r="AB17" s="410">
        <v>80</v>
      </c>
      <c r="AC17" s="352"/>
      <c r="AD17" s="347"/>
      <c r="AE17" s="352"/>
      <c r="AF17" s="347"/>
      <c r="AG17" s="352"/>
      <c r="AH17" s="353">
        <f t="shared" si="3"/>
        <v>1742.0080000000003</v>
      </c>
      <c r="AI17" s="354">
        <f t="shared" ref="AI17:AI22" si="4">X17*AB17/100</f>
        <v>1742.0080000000003</v>
      </c>
      <c r="AJ17" s="348"/>
      <c r="AK17" s="348"/>
      <c r="AL17" s="348"/>
      <c r="AM17" s="348"/>
      <c r="AN17" s="348"/>
      <c r="AO17" s="348"/>
      <c r="AP17" s="348"/>
      <c r="AQ17" s="352"/>
      <c r="AS17" s="429"/>
    </row>
    <row r="18" spans="1:48" ht="15" customHeight="1" x14ac:dyDescent="0.3">
      <c r="A18" s="347"/>
      <c r="B18" s="410"/>
      <c r="C18" s="348"/>
      <c r="D18" s="348"/>
      <c r="E18" s="410"/>
      <c r="F18" s="410"/>
      <c r="G18" s="410"/>
      <c r="H18" s="410"/>
      <c r="I18" s="305">
        <v>131.65</v>
      </c>
      <c r="J18" s="348"/>
      <c r="K18" s="348"/>
      <c r="L18" s="348"/>
      <c r="M18" s="348"/>
      <c r="N18" s="410"/>
      <c r="O18" s="410"/>
      <c r="P18" s="410"/>
      <c r="Q18" s="410"/>
      <c r="R18" s="410"/>
      <c r="S18" s="410"/>
      <c r="T18" s="410"/>
      <c r="U18" s="410"/>
      <c r="V18" s="410"/>
      <c r="W18" s="410"/>
      <c r="X18" s="352">
        <f t="shared" si="0"/>
        <v>131.65</v>
      </c>
      <c r="Y18" s="121" t="s">
        <v>439</v>
      </c>
      <c r="Z18" s="347"/>
      <c r="AA18" s="348"/>
      <c r="AB18" s="410">
        <v>85</v>
      </c>
      <c r="AC18" s="352"/>
      <c r="AD18" s="347"/>
      <c r="AE18" s="352"/>
      <c r="AF18" s="347"/>
      <c r="AG18" s="352"/>
      <c r="AH18" s="353">
        <f t="shared" si="3"/>
        <v>111.9025</v>
      </c>
      <c r="AI18" s="354">
        <f t="shared" si="4"/>
        <v>111.9025</v>
      </c>
      <c r="AJ18" s="348"/>
      <c r="AK18" s="348"/>
      <c r="AL18" s="348"/>
      <c r="AM18" s="348"/>
      <c r="AN18" s="348"/>
      <c r="AO18" s="348"/>
      <c r="AP18" s="348"/>
      <c r="AQ18" s="352"/>
      <c r="AS18" s="429"/>
    </row>
    <row r="19" spans="1:48" ht="15" customHeight="1" x14ac:dyDescent="0.3">
      <c r="A19" s="347"/>
      <c r="B19" s="348"/>
      <c r="C19" s="348"/>
      <c r="D19" s="348"/>
      <c r="E19" s="348"/>
      <c r="F19" s="348"/>
      <c r="G19" s="348"/>
      <c r="H19" s="348"/>
      <c r="I19" s="305"/>
      <c r="J19" s="348"/>
      <c r="K19" s="348"/>
      <c r="L19" s="348"/>
      <c r="M19" s="348"/>
      <c r="N19" s="410"/>
      <c r="O19" s="410"/>
      <c r="P19" s="410"/>
      <c r="Q19" s="305"/>
      <c r="R19" s="305"/>
      <c r="S19" s="305">
        <v>6.67</v>
      </c>
      <c r="T19" s="410"/>
      <c r="U19" s="410"/>
      <c r="V19" s="410"/>
      <c r="W19" s="410"/>
      <c r="X19" s="352">
        <f t="shared" si="0"/>
        <v>6.67</v>
      </c>
      <c r="Y19" s="121" t="s">
        <v>440</v>
      </c>
      <c r="Z19" s="347"/>
      <c r="AA19" s="348"/>
      <c r="AB19" s="410">
        <v>75</v>
      </c>
      <c r="AC19" s="352"/>
      <c r="AD19" s="347"/>
      <c r="AE19" s="352"/>
      <c r="AF19" s="347"/>
      <c r="AG19" s="352"/>
      <c r="AH19" s="353">
        <f t="shared" si="3"/>
        <v>5.0025000000000004</v>
      </c>
      <c r="AI19" s="354">
        <f t="shared" si="4"/>
        <v>5.0025000000000004</v>
      </c>
      <c r="AJ19" s="348"/>
      <c r="AK19" s="348"/>
      <c r="AL19" s="348"/>
      <c r="AM19" s="348"/>
      <c r="AN19" s="348"/>
      <c r="AO19" s="348"/>
      <c r="AP19" s="348"/>
      <c r="AQ19" s="352"/>
      <c r="AV19" s="429"/>
    </row>
    <row r="20" spans="1:48" ht="15" customHeight="1" x14ac:dyDescent="0.3">
      <c r="A20" s="347"/>
      <c r="B20" s="348"/>
      <c r="C20" s="348"/>
      <c r="D20" s="348"/>
      <c r="E20" s="348"/>
      <c r="F20" s="348"/>
      <c r="G20" s="348"/>
      <c r="H20" s="348"/>
      <c r="I20" s="305"/>
      <c r="J20" s="348"/>
      <c r="K20" s="348"/>
      <c r="L20" s="348"/>
      <c r="M20" s="348"/>
      <c r="N20" s="410"/>
      <c r="O20" s="410"/>
      <c r="P20" s="410"/>
      <c r="Q20" s="305"/>
      <c r="R20" s="305">
        <v>197.55</v>
      </c>
      <c r="S20" s="305"/>
      <c r="T20" s="410"/>
      <c r="U20" s="410"/>
      <c r="V20" s="410"/>
      <c r="W20" s="410"/>
      <c r="X20" s="352">
        <f t="shared" si="0"/>
        <v>197.55</v>
      </c>
      <c r="Y20" s="121" t="s">
        <v>441</v>
      </c>
      <c r="Z20" s="347"/>
      <c r="AA20" s="348"/>
      <c r="AB20" s="410">
        <v>65</v>
      </c>
      <c r="AC20" s="352"/>
      <c r="AD20" s="347"/>
      <c r="AE20" s="352"/>
      <c r="AF20" s="347"/>
      <c r="AG20" s="352"/>
      <c r="AH20" s="353">
        <f t="shared" si="3"/>
        <v>128.4075</v>
      </c>
      <c r="AI20" s="354">
        <f t="shared" si="4"/>
        <v>128.4075</v>
      </c>
      <c r="AJ20" s="348"/>
      <c r="AK20" s="348"/>
      <c r="AL20" s="348"/>
      <c r="AM20" s="348"/>
      <c r="AN20" s="348"/>
      <c r="AO20" s="348"/>
      <c r="AP20" s="348"/>
      <c r="AQ20" s="352"/>
      <c r="AS20" s="429"/>
    </row>
    <row r="21" spans="1:48" ht="15" customHeight="1" x14ac:dyDescent="0.3">
      <c r="A21" s="347"/>
      <c r="B21" s="348"/>
      <c r="C21" s="348"/>
      <c r="D21" s="348"/>
      <c r="E21" s="348"/>
      <c r="F21" s="348"/>
      <c r="G21" s="348"/>
      <c r="H21" s="348"/>
      <c r="I21" s="305"/>
      <c r="J21" s="348"/>
      <c r="K21" s="348"/>
      <c r="L21" s="348"/>
      <c r="M21" s="348"/>
      <c r="N21" s="410"/>
      <c r="O21" s="410"/>
      <c r="P21" s="410"/>
      <c r="Q21" s="305">
        <v>290.69</v>
      </c>
      <c r="R21" s="305"/>
      <c r="S21" s="305"/>
      <c r="T21" s="410"/>
      <c r="U21" s="410"/>
      <c r="V21" s="410"/>
      <c r="W21" s="410"/>
      <c r="X21" s="352">
        <f t="shared" si="0"/>
        <v>290.69</v>
      </c>
      <c r="Y21" s="121" t="s">
        <v>442</v>
      </c>
      <c r="Z21" s="347"/>
      <c r="AA21" s="348"/>
      <c r="AB21" s="410">
        <v>65</v>
      </c>
      <c r="AC21" s="352"/>
      <c r="AD21" s="347"/>
      <c r="AE21" s="352"/>
      <c r="AF21" s="347"/>
      <c r="AG21" s="352"/>
      <c r="AH21" s="353">
        <f t="shared" si="3"/>
        <v>188.9485</v>
      </c>
      <c r="AI21" s="354">
        <f t="shared" si="4"/>
        <v>188.9485</v>
      </c>
      <c r="AJ21" s="348"/>
      <c r="AK21" s="348"/>
      <c r="AL21" s="348"/>
      <c r="AM21" s="348"/>
      <c r="AN21" s="348"/>
      <c r="AO21" s="348"/>
      <c r="AP21" s="348"/>
      <c r="AQ21" s="352"/>
      <c r="AS21" s="429"/>
    </row>
    <row r="22" spans="1:48" ht="15" customHeight="1" x14ac:dyDescent="0.3">
      <c r="A22" s="347"/>
      <c r="B22" s="348"/>
      <c r="C22" s="348"/>
      <c r="D22" s="348"/>
      <c r="E22" s="348"/>
      <c r="F22" s="348"/>
      <c r="G22" s="348"/>
      <c r="H22" s="348"/>
      <c r="I22" s="305"/>
      <c r="J22" s="348"/>
      <c r="K22" s="348"/>
      <c r="L22" s="305">
        <v>1.33</v>
      </c>
      <c r="M22" s="348"/>
      <c r="N22" s="410"/>
      <c r="O22" s="410"/>
      <c r="P22" s="410"/>
      <c r="Q22" s="410"/>
      <c r="R22" s="410"/>
      <c r="S22" s="410"/>
      <c r="T22" s="410"/>
      <c r="U22" s="410"/>
      <c r="V22" s="410"/>
      <c r="W22" s="410"/>
      <c r="X22" s="352">
        <f t="shared" si="0"/>
        <v>1.33</v>
      </c>
      <c r="Y22" s="121" t="s">
        <v>443</v>
      </c>
      <c r="Z22" s="347"/>
      <c r="AA22" s="348"/>
      <c r="AB22" s="348">
        <v>100</v>
      </c>
      <c r="AC22" s="352"/>
      <c r="AD22" s="347"/>
      <c r="AE22" s="352"/>
      <c r="AF22" s="347"/>
      <c r="AG22" s="352"/>
      <c r="AH22" s="353">
        <f t="shared" si="3"/>
        <v>1.33</v>
      </c>
      <c r="AI22" s="354">
        <f t="shared" si="4"/>
        <v>1.33</v>
      </c>
      <c r="AJ22" s="348"/>
      <c r="AK22" s="348"/>
      <c r="AL22" s="348"/>
      <c r="AM22" s="348"/>
      <c r="AN22" s="348"/>
      <c r="AO22" s="348"/>
      <c r="AP22" s="348"/>
      <c r="AQ22" s="352"/>
      <c r="AV22" s="429"/>
    </row>
    <row r="23" spans="1:48" ht="15" customHeight="1" x14ac:dyDescent="0.3">
      <c r="A23" s="347"/>
      <c r="B23" s="348"/>
      <c r="C23" s="348"/>
      <c r="D23" s="348"/>
      <c r="E23" s="305">
        <v>188.59</v>
      </c>
      <c r="F23" s="348"/>
      <c r="G23" s="348"/>
      <c r="H23" s="348"/>
      <c r="I23" s="305"/>
      <c r="J23" s="348"/>
      <c r="K23" s="348"/>
      <c r="L23" s="348"/>
      <c r="M23" s="348"/>
      <c r="N23" s="410"/>
      <c r="O23" s="410"/>
      <c r="P23" s="410"/>
      <c r="Q23" s="410"/>
      <c r="R23" s="410"/>
      <c r="S23" s="410"/>
      <c r="T23" s="410"/>
      <c r="U23" s="410"/>
      <c r="V23" s="410"/>
      <c r="W23" s="410"/>
      <c r="X23" s="352">
        <f t="shared" si="0"/>
        <v>188.59</v>
      </c>
      <c r="Y23" s="121" t="s">
        <v>444</v>
      </c>
      <c r="Z23" s="347"/>
      <c r="AA23" s="348">
        <v>90</v>
      </c>
      <c r="AB23" s="348"/>
      <c r="AC23" s="352"/>
      <c r="AD23" s="347"/>
      <c r="AE23" s="352"/>
      <c r="AF23" s="347"/>
      <c r="AG23" s="352"/>
      <c r="AH23" s="353">
        <f t="shared" si="3"/>
        <v>169.73099999999999</v>
      </c>
      <c r="AI23" s="354"/>
      <c r="AJ23" s="348"/>
      <c r="AK23" s="348"/>
      <c r="AL23" s="348"/>
      <c r="AM23" s="348"/>
      <c r="AN23" s="348">
        <f>X23*AA23/100</f>
        <v>169.73099999999999</v>
      </c>
      <c r="AO23" s="348"/>
      <c r="AP23" s="348"/>
      <c r="AQ23" s="352"/>
      <c r="AV23" s="429"/>
    </row>
    <row r="24" spans="1:48" ht="15" customHeight="1" x14ac:dyDescent="0.3">
      <c r="A24" s="347"/>
      <c r="B24" s="348"/>
      <c r="C24" s="348"/>
      <c r="D24" s="348"/>
      <c r="E24" s="348"/>
      <c r="F24" s="348"/>
      <c r="G24" s="348"/>
      <c r="H24" s="348"/>
      <c r="I24" s="305">
        <v>763.69</v>
      </c>
      <c r="J24" s="348"/>
      <c r="K24" s="348"/>
      <c r="L24" s="348"/>
      <c r="M24" s="348"/>
      <c r="N24" s="410"/>
      <c r="O24" s="410"/>
      <c r="P24" s="410"/>
      <c r="Q24" s="410"/>
      <c r="R24" s="410"/>
      <c r="S24" s="410"/>
      <c r="T24" s="410"/>
      <c r="U24" s="410"/>
      <c r="V24" s="410"/>
      <c r="W24" s="410"/>
      <c r="X24" s="352">
        <f t="shared" si="0"/>
        <v>763.69</v>
      </c>
      <c r="Y24" s="121" t="s">
        <v>445</v>
      </c>
      <c r="Z24" s="347"/>
      <c r="AA24" s="348">
        <v>90</v>
      </c>
      <c r="AB24" s="348"/>
      <c r="AC24" s="352"/>
      <c r="AD24" s="347"/>
      <c r="AE24" s="352"/>
      <c r="AF24" s="347"/>
      <c r="AG24" s="352"/>
      <c r="AH24" s="353">
        <f t="shared" si="3"/>
        <v>687.32100000000003</v>
      </c>
      <c r="AI24" s="354"/>
      <c r="AJ24" s="348"/>
      <c r="AK24" s="348"/>
      <c r="AL24" s="348"/>
      <c r="AM24" s="348"/>
      <c r="AN24" s="348">
        <f>X24*AA24/100</f>
        <v>687.32100000000003</v>
      </c>
      <c r="AO24" s="348"/>
      <c r="AP24" s="348"/>
      <c r="AQ24" s="352"/>
      <c r="AS24" s="429"/>
    </row>
    <row r="25" spans="1:48" ht="15" customHeight="1" x14ac:dyDescent="0.3">
      <c r="A25" s="347"/>
      <c r="B25" s="348"/>
      <c r="C25" s="305">
        <v>0.16</v>
      </c>
      <c r="D25" s="305">
        <v>120.21</v>
      </c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305"/>
      <c r="P25" s="305"/>
      <c r="Q25" s="305"/>
      <c r="R25" s="305"/>
      <c r="S25" s="305">
        <v>741.33</v>
      </c>
      <c r="T25" s="305"/>
      <c r="U25" s="305"/>
      <c r="V25" s="305"/>
      <c r="W25" s="305">
        <v>5.44</v>
      </c>
      <c r="X25" s="352">
        <f t="shared" si="0"/>
        <v>867.1400000000001</v>
      </c>
      <c r="Y25" s="121" t="s">
        <v>446</v>
      </c>
      <c r="Z25" s="347"/>
      <c r="AA25" s="348">
        <v>90</v>
      </c>
      <c r="AB25" s="348"/>
      <c r="AC25" s="352"/>
      <c r="AD25" s="347"/>
      <c r="AE25" s="352"/>
      <c r="AF25" s="347"/>
      <c r="AG25" s="352"/>
      <c r="AH25" s="353">
        <f t="shared" si="3"/>
        <v>780.42600000000004</v>
      </c>
      <c r="AI25" s="354"/>
      <c r="AJ25" s="348"/>
      <c r="AK25" s="348"/>
      <c r="AL25" s="348"/>
      <c r="AM25" s="348"/>
      <c r="AN25" s="348">
        <f>X25*AA25/100</f>
        <v>780.42600000000004</v>
      </c>
      <c r="AO25" s="348"/>
      <c r="AP25" s="348"/>
      <c r="AQ25" s="352"/>
      <c r="AR25" s="436"/>
      <c r="AS25" s="429"/>
    </row>
    <row r="26" spans="1:48" ht="15" customHeight="1" x14ac:dyDescent="0.25">
      <c r="A26" s="347"/>
      <c r="B26" s="348"/>
      <c r="C26" s="348"/>
      <c r="D26" s="348"/>
      <c r="E26" s="348"/>
      <c r="F26" s="348"/>
      <c r="G26" s="348"/>
      <c r="H26" s="410"/>
      <c r="I26" s="410"/>
      <c r="J26" s="410"/>
      <c r="K26" s="410"/>
      <c r="L26" s="410"/>
      <c r="M26" s="410"/>
      <c r="N26" s="410"/>
      <c r="O26" s="410"/>
      <c r="P26" s="410"/>
      <c r="Q26" s="410"/>
      <c r="R26" s="410"/>
      <c r="S26" s="410"/>
      <c r="T26" s="410"/>
      <c r="U26" s="410"/>
      <c r="V26" s="410"/>
      <c r="W26" s="410"/>
      <c r="X26" s="352">
        <f t="shared" si="0"/>
        <v>0</v>
      </c>
      <c r="Y26" s="121" t="s">
        <v>447</v>
      </c>
      <c r="Z26" s="348">
        <v>100</v>
      </c>
      <c r="AA26" s="348"/>
      <c r="AB26" s="348"/>
      <c r="AC26" s="352"/>
      <c r="AD26" s="347">
        <f>X26*Z26/100</f>
        <v>0</v>
      </c>
      <c r="AE26" s="352"/>
      <c r="AF26" s="347"/>
      <c r="AG26" s="352"/>
      <c r="AH26" s="353">
        <f t="shared" si="3"/>
        <v>0</v>
      </c>
      <c r="AI26" s="354"/>
      <c r="AJ26" s="348"/>
      <c r="AK26" s="348"/>
      <c r="AL26" s="348"/>
      <c r="AM26" s="348"/>
      <c r="AN26" s="348"/>
      <c r="AO26" s="348"/>
      <c r="AP26" s="348"/>
      <c r="AQ26" s="352"/>
      <c r="AV26" s="429"/>
    </row>
    <row r="27" spans="1:48" ht="15" customHeight="1" x14ac:dyDescent="0.25">
      <c r="A27" s="347"/>
      <c r="B27" s="348"/>
      <c r="C27" s="348"/>
      <c r="D27" s="348"/>
      <c r="E27" s="348"/>
      <c r="F27" s="348"/>
      <c r="G27" s="348"/>
      <c r="H27" s="410"/>
      <c r="I27" s="410"/>
      <c r="J27" s="494">
        <v>17.11</v>
      </c>
      <c r="K27" s="410"/>
      <c r="L27" s="410"/>
      <c r="M27" s="410"/>
      <c r="N27" s="410"/>
      <c r="O27" s="410"/>
      <c r="P27" s="410"/>
      <c r="Q27" s="410"/>
      <c r="R27" s="410"/>
      <c r="S27" s="410"/>
      <c r="T27" s="410"/>
      <c r="U27" s="410"/>
      <c r="V27" s="410"/>
      <c r="W27" s="410"/>
      <c r="X27" s="352">
        <f t="shared" si="0"/>
        <v>17.11</v>
      </c>
      <c r="Y27" s="121" t="s">
        <v>448</v>
      </c>
      <c r="Z27" s="348">
        <v>100</v>
      </c>
      <c r="AA27" s="348"/>
      <c r="AB27" s="348"/>
      <c r="AC27" s="352"/>
      <c r="AD27" s="347">
        <f>Z27*X27/100</f>
        <v>17.11</v>
      </c>
      <c r="AE27" s="352"/>
      <c r="AF27" s="347"/>
      <c r="AG27" s="352"/>
      <c r="AH27" s="353">
        <f t="shared" si="3"/>
        <v>0</v>
      </c>
      <c r="AI27" s="354"/>
      <c r="AJ27" s="348"/>
      <c r="AK27" s="348"/>
      <c r="AL27" s="348"/>
      <c r="AM27" s="348"/>
      <c r="AN27" s="348"/>
      <c r="AO27" s="348"/>
      <c r="AP27" s="348"/>
      <c r="AQ27" s="352"/>
      <c r="AV27" s="429"/>
    </row>
    <row r="28" spans="1:48" ht="15" customHeight="1" x14ac:dyDescent="0.25">
      <c r="A28" s="347"/>
      <c r="B28" s="348"/>
      <c r="C28" s="348"/>
      <c r="D28" s="348"/>
      <c r="E28" s="348"/>
      <c r="F28" s="348"/>
      <c r="G28" s="348"/>
      <c r="H28" s="410"/>
      <c r="I28" s="410"/>
      <c r="J28" s="410"/>
      <c r="K28" s="410"/>
      <c r="L28" s="410"/>
      <c r="M28" s="410"/>
      <c r="N28" s="410"/>
      <c r="O28" s="410"/>
      <c r="P28" s="410"/>
      <c r="Q28" s="410"/>
      <c r="R28" s="410"/>
      <c r="S28" s="410"/>
      <c r="T28" s="410"/>
      <c r="U28" s="410"/>
      <c r="V28" s="410"/>
      <c r="W28" s="410"/>
      <c r="X28" s="352">
        <f t="shared" si="0"/>
        <v>0</v>
      </c>
      <c r="Y28" s="121" t="s">
        <v>449</v>
      </c>
      <c r="Z28" s="424">
        <v>100</v>
      </c>
      <c r="AA28" s="410"/>
      <c r="AB28" s="410"/>
      <c r="AC28" s="423"/>
      <c r="AD28" s="424">
        <f>Z28*X28/100</f>
        <v>0</v>
      </c>
      <c r="AE28" s="423"/>
      <c r="AF28" s="347"/>
      <c r="AG28" s="352"/>
      <c r="AH28" s="353">
        <f t="shared" si="3"/>
        <v>0</v>
      </c>
      <c r="AI28" s="354"/>
      <c r="AJ28" s="348"/>
      <c r="AK28" s="348"/>
      <c r="AL28" s="348"/>
      <c r="AM28" s="348"/>
      <c r="AN28" s="348"/>
      <c r="AO28" s="348"/>
      <c r="AP28" s="348"/>
      <c r="AQ28" s="352"/>
    </row>
    <row r="29" spans="1:48" ht="15" customHeight="1" x14ac:dyDescent="0.25">
      <c r="A29" s="347"/>
      <c r="B29" s="348"/>
      <c r="C29" s="348"/>
      <c r="D29" s="348"/>
      <c r="E29" s="348"/>
      <c r="F29" s="348"/>
      <c r="G29" s="348"/>
      <c r="H29" s="410"/>
      <c r="I29" s="410"/>
      <c r="J29" s="410"/>
      <c r="K29" s="410">
        <v>56.2</v>
      </c>
      <c r="L29" s="410"/>
      <c r="M29" s="410"/>
      <c r="N29" s="410"/>
      <c r="O29" s="410"/>
      <c r="P29" s="410"/>
      <c r="Q29" s="410"/>
      <c r="R29" s="410"/>
      <c r="S29" s="410"/>
      <c r="T29" s="410"/>
      <c r="U29" s="410"/>
      <c r="V29" s="410"/>
      <c r="W29" s="410"/>
      <c r="X29" s="352">
        <f t="shared" si="0"/>
        <v>56.2</v>
      </c>
      <c r="Y29" s="121" t="s">
        <v>450</v>
      </c>
      <c r="Z29" s="410">
        <v>100</v>
      </c>
      <c r="AA29" s="410"/>
      <c r="AB29" s="410"/>
      <c r="AC29" s="423"/>
      <c r="AD29" s="424">
        <f>Z29*X29/100</f>
        <v>56.2</v>
      </c>
      <c r="AE29" s="423"/>
      <c r="AF29" s="347"/>
      <c r="AG29" s="352"/>
      <c r="AH29" s="353">
        <f t="shared" si="3"/>
        <v>0</v>
      </c>
      <c r="AI29" s="354"/>
      <c r="AJ29" s="348"/>
      <c r="AK29" s="348"/>
      <c r="AL29" s="348"/>
      <c r="AM29" s="348"/>
      <c r="AN29" s="348"/>
      <c r="AO29" s="348"/>
      <c r="AP29" s="348"/>
      <c r="AQ29" s="352"/>
    </row>
    <row r="30" spans="1:48" ht="15" customHeight="1" x14ac:dyDescent="0.25">
      <c r="A30" s="347"/>
      <c r="B30" s="348"/>
      <c r="C30" s="348"/>
      <c r="D30" s="348"/>
      <c r="E30" s="348"/>
      <c r="F30" s="348"/>
      <c r="G30" s="348"/>
      <c r="H30" s="410"/>
      <c r="I30" s="410"/>
      <c r="J30" s="410"/>
      <c r="K30" s="410"/>
      <c r="L30" s="410"/>
      <c r="M30" s="410"/>
      <c r="N30" s="410"/>
      <c r="O30" s="410"/>
      <c r="P30" s="410"/>
      <c r="Q30" s="410"/>
      <c r="R30" s="410"/>
      <c r="S30" s="410"/>
      <c r="T30" s="410"/>
      <c r="U30" s="410"/>
      <c r="V30" s="410"/>
      <c r="W30" s="410"/>
      <c r="X30" s="352">
        <f t="shared" si="0"/>
        <v>0</v>
      </c>
      <c r="Y30" s="121" t="s">
        <v>451</v>
      </c>
      <c r="Z30" s="410">
        <v>100</v>
      </c>
      <c r="AA30" s="410"/>
      <c r="AB30" s="410"/>
      <c r="AC30" s="423"/>
      <c r="AD30" s="424">
        <f>Z30*X30/100</f>
        <v>0</v>
      </c>
      <c r="AE30" s="423"/>
      <c r="AF30" s="347"/>
      <c r="AG30" s="352"/>
      <c r="AH30" s="353">
        <f t="shared" si="3"/>
        <v>0</v>
      </c>
      <c r="AI30" s="354"/>
      <c r="AJ30" s="348"/>
      <c r="AK30" s="348"/>
      <c r="AL30" s="348"/>
      <c r="AM30" s="348"/>
      <c r="AN30" s="348"/>
      <c r="AO30" s="348"/>
      <c r="AP30" s="348"/>
      <c r="AQ30" s="352"/>
    </row>
    <row r="31" spans="1:48" s="444" customFormat="1" ht="15" customHeight="1" x14ac:dyDescent="0.3">
      <c r="A31" s="495"/>
      <c r="B31" s="348"/>
      <c r="C31" s="348"/>
      <c r="D31" s="348"/>
      <c r="E31" s="348"/>
      <c r="F31" s="348"/>
      <c r="G31" s="348"/>
      <c r="H31" s="410"/>
      <c r="I31" s="410"/>
      <c r="J31" s="410"/>
      <c r="K31" s="410"/>
      <c r="L31" s="410"/>
      <c r="M31" s="410"/>
      <c r="N31" s="410"/>
      <c r="O31" s="410"/>
      <c r="P31" s="410"/>
      <c r="Q31" s="410"/>
      <c r="R31" s="410"/>
      <c r="S31" s="410"/>
      <c r="T31" s="410"/>
      <c r="U31" s="305"/>
      <c r="V31" s="305"/>
      <c r="W31" s="305"/>
      <c r="X31" s="352">
        <f t="shared" si="0"/>
        <v>0</v>
      </c>
      <c r="Y31" s="438" t="s">
        <v>452</v>
      </c>
      <c r="Z31" s="488"/>
      <c r="AA31" s="305"/>
      <c r="AB31" s="305"/>
      <c r="AC31" s="293"/>
      <c r="AD31" s="496"/>
      <c r="AE31" s="293"/>
      <c r="AF31" s="497"/>
      <c r="AG31" s="498"/>
      <c r="AH31" s="443"/>
      <c r="AI31" s="495"/>
      <c r="AJ31" s="499"/>
      <c r="AK31" s="499"/>
      <c r="AL31" s="499"/>
      <c r="AM31" s="499"/>
      <c r="AN31" s="499"/>
      <c r="AO31" s="499"/>
      <c r="AP31" s="499"/>
      <c r="AQ31" s="498"/>
    </row>
    <row r="32" spans="1:48" ht="15" customHeight="1" x14ac:dyDescent="0.3">
      <c r="A32" s="348"/>
      <c r="B32" s="348"/>
      <c r="C32" s="500"/>
      <c r="D32" s="500"/>
      <c r="E32" s="500"/>
      <c r="F32" s="500"/>
      <c r="G32" s="500"/>
      <c r="H32" s="501"/>
      <c r="I32" s="501"/>
      <c r="J32" s="501"/>
      <c r="K32" s="501"/>
      <c r="L32" s="501"/>
      <c r="M32" s="501"/>
      <c r="N32" s="305"/>
      <c r="O32" s="501"/>
      <c r="P32" s="501"/>
      <c r="Q32" s="501"/>
      <c r="R32" s="501"/>
      <c r="S32" s="501"/>
      <c r="T32" s="501"/>
      <c r="U32" s="501"/>
      <c r="V32" s="501"/>
      <c r="W32" s="501"/>
      <c r="X32" s="352">
        <f t="shared" si="0"/>
        <v>0</v>
      </c>
      <c r="Y32" s="438" t="s">
        <v>453</v>
      </c>
      <c r="Z32" s="496">
        <v>25</v>
      </c>
      <c r="AA32" s="305">
        <v>50</v>
      </c>
      <c r="AB32" s="305"/>
      <c r="AC32" s="293"/>
      <c r="AD32" s="424">
        <f>X32*Z32/100</f>
        <v>0</v>
      </c>
      <c r="AE32" s="423"/>
      <c r="AF32" s="424">
        <f>X32*AB32/100</f>
        <v>0</v>
      </c>
      <c r="AG32" s="423"/>
      <c r="AH32" s="353">
        <f>SUM(AI32:AQ32)</f>
        <v>0</v>
      </c>
      <c r="AI32" s="354"/>
      <c r="AJ32" s="305"/>
      <c r="AK32" s="499"/>
      <c r="AL32" s="499"/>
      <c r="AM32" s="499"/>
      <c r="AN32" s="499"/>
      <c r="AO32" s="499"/>
      <c r="AP32" s="305"/>
      <c r="AQ32" s="352"/>
    </row>
    <row r="33" spans="1:44" ht="15" customHeight="1" x14ac:dyDescent="0.3">
      <c r="A33" s="348"/>
      <c r="B33" s="348"/>
      <c r="C33" s="502"/>
      <c r="D33" s="501"/>
      <c r="E33" s="501"/>
      <c r="F33" s="501"/>
      <c r="G33" s="501"/>
      <c r="H33" s="501"/>
      <c r="I33" s="501"/>
      <c r="J33" s="501"/>
      <c r="K33" s="501"/>
      <c r="L33" s="501"/>
      <c r="M33" s="501"/>
      <c r="N33" s="501"/>
      <c r="O33" s="501"/>
      <c r="P33" s="501"/>
      <c r="Q33" s="501"/>
      <c r="R33" s="501"/>
      <c r="S33" s="501"/>
      <c r="T33" s="501"/>
      <c r="U33" s="501"/>
      <c r="V33" s="501"/>
      <c r="W33" s="501"/>
      <c r="X33" s="352">
        <f t="shared" si="0"/>
        <v>0</v>
      </c>
      <c r="Y33" s="121" t="s">
        <v>454</v>
      </c>
      <c r="Z33" s="496"/>
      <c r="AA33" s="305"/>
      <c r="AB33" s="305"/>
      <c r="AC33" s="423"/>
      <c r="AD33" s="424">
        <f>X33*Z33/100</f>
        <v>0</v>
      </c>
      <c r="AE33" s="423"/>
      <c r="AF33" s="347">
        <f>X33*AB33/100</f>
        <v>0</v>
      </c>
      <c r="AG33" s="352"/>
      <c r="AH33" s="353">
        <f t="shared" si="3"/>
        <v>0</v>
      </c>
      <c r="AI33" s="354"/>
      <c r="AJ33" s="348"/>
      <c r="AK33" s="348"/>
      <c r="AL33" s="348"/>
      <c r="AM33" s="348"/>
      <c r="AN33" s="348"/>
      <c r="AO33" s="348"/>
      <c r="AP33" s="348"/>
      <c r="AQ33" s="352"/>
    </row>
    <row r="34" spans="1:44" ht="15" customHeight="1" x14ac:dyDescent="0.3">
      <c r="A34" s="348"/>
      <c r="B34" s="348"/>
      <c r="C34" s="501"/>
      <c r="D34" s="501"/>
      <c r="E34" s="501"/>
      <c r="F34" s="501"/>
      <c r="G34" s="501"/>
      <c r="H34" s="501"/>
      <c r="I34" s="501"/>
      <c r="J34" s="501"/>
      <c r="K34" s="501"/>
      <c r="L34" s="501"/>
      <c r="M34" s="501"/>
      <c r="N34" s="501"/>
      <c r="O34" s="501"/>
      <c r="P34" s="501"/>
      <c r="Q34" s="501"/>
      <c r="R34" s="501"/>
      <c r="S34" s="501"/>
      <c r="T34" s="501"/>
      <c r="U34" s="501"/>
      <c r="V34" s="501"/>
      <c r="W34" s="501"/>
      <c r="X34" s="352">
        <f t="shared" si="0"/>
        <v>0</v>
      </c>
      <c r="Y34" s="121" t="s">
        <v>455</v>
      </c>
      <c r="Z34" s="496"/>
      <c r="AA34" s="305"/>
      <c r="AB34" s="305"/>
      <c r="AC34" s="423"/>
      <c r="AD34" s="424">
        <f>X34*Z34/100</f>
        <v>0</v>
      </c>
      <c r="AE34" s="423"/>
      <c r="AF34" s="347">
        <f>X34*AB34</f>
        <v>0</v>
      </c>
      <c r="AG34" s="352"/>
      <c r="AH34" s="353">
        <f t="shared" si="3"/>
        <v>0</v>
      </c>
      <c r="AI34" s="354"/>
      <c r="AJ34" s="348"/>
      <c r="AK34" s="348"/>
      <c r="AL34" s="348"/>
      <c r="AM34" s="348"/>
      <c r="AN34" s="348"/>
      <c r="AO34" s="348"/>
      <c r="AP34" s="348"/>
      <c r="AQ34" s="352"/>
    </row>
    <row r="35" spans="1:44" ht="15" customHeight="1" x14ac:dyDescent="0.3">
      <c r="A35" s="348"/>
      <c r="B35" s="348"/>
      <c r="C35" s="501"/>
      <c r="D35" s="501"/>
      <c r="E35" s="503"/>
      <c r="F35" s="501"/>
      <c r="G35" s="501"/>
      <c r="H35" s="501"/>
      <c r="I35" s="501"/>
      <c r="J35" s="501"/>
      <c r="K35" s="501"/>
      <c r="L35" s="501"/>
      <c r="M35" s="501"/>
      <c r="N35" s="501"/>
      <c r="O35" s="501"/>
      <c r="P35" s="501"/>
      <c r="Q35" s="501"/>
      <c r="R35" s="501"/>
      <c r="S35" s="501"/>
      <c r="T35" s="501"/>
      <c r="U35" s="501"/>
      <c r="V35" s="501"/>
      <c r="W35" s="501"/>
      <c r="X35" s="352">
        <f t="shared" si="0"/>
        <v>0</v>
      </c>
      <c r="Y35" s="121" t="s">
        <v>456</v>
      </c>
      <c r="Z35" s="496"/>
      <c r="AA35" s="305"/>
      <c r="AB35" s="305"/>
      <c r="AC35" s="423"/>
      <c r="AD35" s="424">
        <f>X35*Z35/100</f>
        <v>0</v>
      </c>
      <c r="AE35" s="423"/>
      <c r="AF35" s="347">
        <f>X35*AB35</f>
        <v>0</v>
      </c>
      <c r="AG35" s="352"/>
      <c r="AH35" s="353">
        <f t="shared" si="3"/>
        <v>0</v>
      </c>
      <c r="AI35" s="354"/>
      <c r="AJ35" s="348"/>
      <c r="AK35" s="348"/>
      <c r="AL35" s="348"/>
      <c r="AM35" s="348"/>
      <c r="AN35" s="348"/>
      <c r="AO35" s="348"/>
      <c r="AP35" s="348"/>
      <c r="AQ35" s="352"/>
    </row>
    <row r="36" spans="1:44" ht="15" customHeight="1" x14ac:dyDescent="0.3">
      <c r="A36" s="348"/>
      <c r="B36" s="348"/>
      <c r="C36" s="501"/>
      <c r="D36" s="501"/>
      <c r="E36" s="501"/>
      <c r="F36" s="501"/>
      <c r="G36" s="501"/>
      <c r="H36" s="501"/>
      <c r="I36" s="501"/>
      <c r="J36" s="501"/>
      <c r="K36" s="501"/>
      <c r="L36" s="501"/>
      <c r="M36" s="501"/>
      <c r="N36" s="501"/>
      <c r="O36" s="501"/>
      <c r="P36" s="501"/>
      <c r="Q36" s="501"/>
      <c r="R36" s="501"/>
      <c r="S36" s="501"/>
      <c r="T36" s="501"/>
      <c r="U36" s="501"/>
      <c r="V36" s="501"/>
      <c r="W36" s="501"/>
      <c r="X36" s="352">
        <f t="shared" si="0"/>
        <v>0</v>
      </c>
      <c r="Y36" s="121" t="s">
        <v>457</v>
      </c>
      <c r="Z36" s="496"/>
      <c r="AA36" s="305"/>
      <c r="AB36" s="305"/>
      <c r="AC36" s="423"/>
      <c r="AD36" s="424"/>
      <c r="AE36" s="423"/>
      <c r="AF36" s="347">
        <f>X36*AB36/100</f>
        <v>0</v>
      </c>
      <c r="AG36" s="352"/>
      <c r="AH36" s="353">
        <f t="shared" si="3"/>
        <v>0</v>
      </c>
      <c r="AI36" s="354"/>
      <c r="AJ36" s="348"/>
      <c r="AK36" s="348"/>
      <c r="AL36" s="348"/>
      <c r="AM36" s="348"/>
      <c r="AN36" s="348"/>
      <c r="AO36" s="348"/>
      <c r="AP36" s="348"/>
      <c r="AQ36" s="352"/>
    </row>
    <row r="37" spans="1:44" s="444" customFormat="1" ht="15" customHeight="1" x14ac:dyDescent="0.3">
      <c r="A37" s="499"/>
      <c r="B37" s="499"/>
      <c r="C37" s="499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410"/>
      <c r="O37" s="305"/>
      <c r="P37" s="305"/>
      <c r="Q37" s="305"/>
      <c r="R37" s="305"/>
      <c r="S37" s="305"/>
      <c r="T37" s="305"/>
      <c r="U37" s="305"/>
      <c r="V37" s="305"/>
      <c r="W37" s="305"/>
      <c r="X37" s="352">
        <f t="shared" si="0"/>
        <v>0</v>
      </c>
      <c r="Y37" s="438" t="s">
        <v>458</v>
      </c>
      <c r="Z37" s="424"/>
      <c r="AA37" s="410"/>
      <c r="AB37" s="410"/>
      <c r="AC37" s="423"/>
      <c r="AD37" s="496">
        <f>-AE37/$D$2%</f>
        <v>0</v>
      </c>
      <c r="AE37" s="450"/>
      <c r="AF37" s="451">
        <f>AE37*AB37%</f>
        <v>0</v>
      </c>
      <c r="AG37" s="498"/>
      <c r="AH37" s="443"/>
      <c r="AI37" s="495"/>
      <c r="AJ37" s="495"/>
      <c r="AK37" s="499"/>
      <c r="AL37" s="499"/>
      <c r="AM37" s="499"/>
      <c r="AN37" s="499"/>
      <c r="AO37" s="499"/>
      <c r="AP37" s="499"/>
      <c r="AQ37" s="498"/>
    </row>
    <row r="38" spans="1:44" ht="15" customHeight="1" x14ac:dyDescent="0.3">
      <c r="A38" s="499"/>
      <c r="B38" s="499"/>
      <c r="C38" s="499"/>
      <c r="D38" s="305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305"/>
      <c r="W38" s="305"/>
      <c r="X38" s="352">
        <f t="shared" si="0"/>
        <v>0</v>
      </c>
      <c r="Y38" s="438" t="s">
        <v>459</v>
      </c>
      <c r="Z38" s="424"/>
      <c r="AA38" s="410"/>
      <c r="AB38" s="410"/>
      <c r="AC38" s="423"/>
      <c r="AD38" s="496">
        <f>-AE38/$D$2%</f>
        <v>0</v>
      </c>
      <c r="AE38" s="423"/>
      <c r="AF38" s="424">
        <f>AE38*AB38%</f>
        <v>0</v>
      </c>
      <c r="AG38" s="498"/>
      <c r="AH38" s="443"/>
      <c r="AI38" s="495"/>
      <c r="AJ38" s="495"/>
      <c r="AK38" s="499"/>
      <c r="AL38" s="499"/>
      <c r="AM38" s="499"/>
      <c r="AN38" s="499"/>
      <c r="AO38" s="499"/>
      <c r="AP38" s="499"/>
      <c r="AQ38" s="498"/>
    </row>
    <row r="39" spans="1:44" ht="15" customHeight="1" x14ac:dyDescent="0.3">
      <c r="A39" s="348"/>
      <c r="B39" s="348"/>
      <c r="C39" s="501"/>
      <c r="D39" s="501"/>
      <c r="E39" s="501"/>
      <c r="F39" s="501"/>
      <c r="G39" s="501"/>
      <c r="H39" s="501"/>
      <c r="I39" s="501"/>
      <c r="J39" s="501"/>
      <c r="K39" s="501"/>
      <c r="L39" s="501"/>
      <c r="M39" s="501"/>
      <c r="N39" s="501"/>
      <c r="O39" s="501"/>
      <c r="P39" s="501"/>
      <c r="Q39" s="501"/>
      <c r="R39" s="501"/>
      <c r="S39" s="501"/>
      <c r="T39" s="501"/>
      <c r="U39" s="501"/>
      <c r="V39" s="501"/>
      <c r="W39" s="501"/>
      <c r="X39" s="352">
        <f t="shared" si="0"/>
        <v>0</v>
      </c>
      <c r="Y39" s="121" t="s">
        <v>460</v>
      </c>
      <c r="Z39" s="496"/>
      <c r="AA39" s="305"/>
      <c r="AB39" s="305"/>
      <c r="AC39" s="293">
        <f>100-25</f>
        <v>75</v>
      </c>
      <c r="AD39" s="424"/>
      <c r="AE39" s="423"/>
      <c r="AF39" s="347">
        <f>-SUM(AF33:AF36)</f>
        <v>0</v>
      </c>
      <c r="AG39" s="352">
        <f>-AF39*AC39/100</f>
        <v>0</v>
      </c>
      <c r="AH39" s="353">
        <f>SUM(AI39:AQ39)</f>
        <v>0</v>
      </c>
      <c r="AI39" s="354">
        <f>AG39*62.71%</f>
        <v>0</v>
      </c>
      <c r="AJ39" s="354">
        <f>AG39*9.72%</f>
        <v>0</v>
      </c>
      <c r="AK39" s="348">
        <f>AG39*12.13%</f>
        <v>0</v>
      </c>
      <c r="AL39" s="348">
        <f>AG39*7.13%</f>
        <v>0</v>
      </c>
      <c r="AM39" s="348">
        <f>AG39*0%</f>
        <v>0</v>
      </c>
      <c r="AN39" s="348">
        <f>AG39*6.34%</f>
        <v>0</v>
      </c>
      <c r="AO39" s="348">
        <f>AG39*1.97%</f>
        <v>0</v>
      </c>
      <c r="AP39" s="348"/>
      <c r="AQ39" s="352"/>
      <c r="AR39" s="453"/>
    </row>
    <row r="40" spans="1:44" ht="15" customHeight="1" x14ac:dyDescent="0.3">
      <c r="A40" s="348"/>
      <c r="B40" s="348"/>
      <c r="C40" s="501"/>
      <c r="D40" s="501"/>
      <c r="E40" s="501"/>
      <c r="F40" s="501"/>
      <c r="G40" s="501"/>
      <c r="H40" s="501"/>
      <c r="I40" s="501"/>
      <c r="J40" s="501"/>
      <c r="K40" s="501"/>
      <c r="L40" s="501"/>
      <c r="M40" s="501"/>
      <c r="N40" s="501"/>
      <c r="O40" s="501"/>
      <c r="P40" s="501"/>
      <c r="Q40" s="501"/>
      <c r="R40" s="501"/>
      <c r="S40" s="501"/>
      <c r="T40" s="501"/>
      <c r="U40" s="501"/>
      <c r="V40" s="501"/>
      <c r="W40" s="501"/>
      <c r="X40" s="352">
        <f t="shared" si="0"/>
        <v>0</v>
      </c>
      <c r="Y40" s="121" t="s">
        <v>461</v>
      </c>
      <c r="Z40" s="496"/>
      <c r="AA40" s="305"/>
      <c r="AB40" s="305"/>
      <c r="AC40" s="293"/>
      <c r="AD40" s="424">
        <f>X40*Z40/100</f>
        <v>0</v>
      </c>
      <c r="AE40" s="423"/>
      <c r="AF40" s="347">
        <f>X40*AB40/100</f>
        <v>0</v>
      </c>
      <c r="AG40" s="352"/>
      <c r="AH40" s="353">
        <f t="shared" si="3"/>
        <v>0</v>
      </c>
      <c r="AI40" s="495"/>
      <c r="AJ40" s="499"/>
      <c r="AK40" s="499"/>
      <c r="AL40" s="499"/>
      <c r="AM40" s="499"/>
      <c r="AN40" s="499"/>
      <c r="AO40" s="499"/>
      <c r="AP40" s="348"/>
      <c r="AQ40" s="352"/>
    </row>
    <row r="41" spans="1:44" ht="15" customHeight="1" x14ac:dyDescent="0.3">
      <c r="A41" s="348"/>
      <c r="B41" s="348"/>
      <c r="C41" s="501"/>
      <c r="D41" s="501"/>
      <c r="E41" s="501"/>
      <c r="F41" s="501"/>
      <c r="G41" s="501"/>
      <c r="H41" s="501"/>
      <c r="I41" s="501"/>
      <c r="J41" s="501"/>
      <c r="K41" s="501"/>
      <c r="L41" s="501"/>
      <c r="M41" s="501"/>
      <c r="N41" s="501"/>
      <c r="O41" s="501"/>
      <c r="P41" s="501"/>
      <c r="Q41" s="501"/>
      <c r="R41" s="501"/>
      <c r="S41" s="501"/>
      <c r="T41" s="501"/>
      <c r="U41" s="501"/>
      <c r="V41" s="501"/>
      <c r="W41" s="501"/>
      <c r="X41" s="352">
        <f t="shared" si="0"/>
        <v>0</v>
      </c>
      <c r="Y41" s="121" t="s">
        <v>462</v>
      </c>
      <c r="Z41" s="496"/>
      <c r="AA41" s="305"/>
      <c r="AB41" s="305"/>
      <c r="AC41" s="293"/>
      <c r="AD41" s="424">
        <f>X41*Z41/100</f>
        <v>0</v>
      </c>
      <c r="AE41" s="423"/>
      <c r="AF41" s="347">
        <f>X41*AB41/100</f>
        <v>0</v>
      </c>
      <c r="AG41" s="352"/>
      <c r="AH41" s="353">
        <f t="shared" si="3"/>
        <v>0</v>
      </c>
      <c r="AI41" s="495"/>
      <c r="AJ41" s="499"/>
      <c r="AK41" s="499"/>
      <c r="AL41" s="499"/>
      <c r="AM41" s="499"/>
      <c r="AN41" s="499"/>
      <c r="AO41" s="499"/>
      <c r="AP41" s="348"/>
      <c r="AQ41" s="352"/>
    </row>
    <row r="42" spans="1:44" ht="15" customHeight="1" x14ac:dyDescent="0.3">
      <c r="A42" s="348"/>
      <c r="B42" s="348"/>
      <c r="C42" s="501"/>
      <c r="D42" s="501"/>
      <c r="E42" s="501"/>
      <c r="F42" s="501"/>
      <c r="G42" s="501"/>
      <c r="H42" s="501"/>
      <c r="I42" s="501"/>
      <c r="J42" s="501"/>
      <c r="K42" s="501"/>
      <c r="L42" s="501"/>
      <c r="M42" s="501"/>
      <c r="N42" s="501"/>
      <c r="O42" s="501"/>
      <c r="P42" s="501"/>
      <c r="Q42" s="501"/>
      <c r="R42" s="501"/>
      <c r="S42" s="501"/>
      <c r="T42" s="501"/>
      <c r="U42" s="501"/>
      <c r="V42" s="501"/>
      <c r="W42" s="501"/>
      <c r="X42" s="352">
        <f t="shared" si="0"/>
        <v>0</v>
      </c>
      <c r="Y42" s="121" t="s">
        <v>463</v>
      </c>
      <c r="Z42" s="496"/>
      <c r="AA42" s="305"/>
      <c r="AB42" s="305"/>
      <c r="AC42" s="293"/>
      <c r="AD42" s="424">
        <f>X42*Z42/100</f>
        <v>0</v>
      </c>
      <c r="AE42" s="423"/>
      <c r="AF42" s="347">
        <f>X42*AB42/100</f>
        <v>0</v>
      </c>
      <c r="AG42" s="352"/>
      <c r="AH42" s="353">
        <f t="shared" si="3"/>
        <v>0</v>
      </c>
      <c r="AI42" s="495"/>
      <c r="AJ42" s="499"/>
      <c r="AK42" s="499"/>
      <c r="AL42" s="499"/>
      <c r="AM42" s="499"/>
      <c r="AN42" s="499"/>
      <c r="AO42" s="499"/>
      <c r="AP42" s="348"/>
      <c r="AQ42" s="352"/>
    </row>
    <row r="43" spans="1:44" ht="15" customHeight="1" x14ac:dyDescent="0.3">
      <c r="A43" s="348"/>
      <c r="B43" s="348"/>
      <c r="C43" s="501"/>
      <c r="D43" s="501"/>
      <c r="E43" s="501"/>
      <c r="F43" s="501"/>
      <c r="G43" s="501"/>
      <c r="H43" s="501"/>
      <c r="I43" s="501"/>
      <c r="J43" s="501"/>
      <c r="K43" s="501"/>
      <c r="L43" s="501"/>
      <c r="M43" s="501"/>
      <c r="N43" s="501"/>
      <c r="O43" s="501"/>
      <c r="P43" s="501"/>
      <c r="Q43" s="501"/>
      <c r="R43" s="501"/>
      <c r="S43" s="501"/>
      <c r="T43" s="501"/>
      <c r="U43" s="501"/>
      <c r="V43" s="501"/>
      <c r="W43" s="501"/>
      <c r="X43" s="352">
        <f t="shared" si="0"/>
        <v>0</v>
      </c>
      <c r="Y43" s="121" t="s">
        <v>464</v>
      </c>
      <c r="Z43" s="496"/>
      <c r="AA43" s="305"/>
      <c r="AB43" s="305"/>
      <c r="AC43" s="293">
        <f>100-25</f>
        <v>75</v>
      </c>
      <c r="AD43" s="424"/>
      <c r="AE43" s="423"/>
      <c r="AF43" s="347">
        <f>-SUM(AF40:AF42)</f>
        <v>0</v>
      </c>
      <c r="AG43" s="352">
        <f>-AF43*AC43/100</f>
        <v>0</v>
      </c>
      <c r="AH43" s="353">
        <f t="shared" si="3"/>
        <v>0</v>
      </c>
      <c r="AI43" s="354">
        <f>AG43*62.71%</f>
        <v>0</v>
      </c>
      <c r="AJ43" s="354">
        <f>AG43*9.72%</f>
        <v>0</v>
      </c>
      <c r="AK43" s="348">
        <f>AG43*12.13%</f>
        <v>0</v>
      </c>
      <c r="AL43" s="348">
        <f>AG43*7.13%</f>
        <v>0</v>
      </c>
      <c r="AM43" s="348">
        <f>AG43*0%</f>
        <v>0</v>
      </c>
      <c r="AN43" s="348">
        <f>AG43*6.34%</f>
        <v>0</v>
      </c>
      <c r="AO43" s="348">
        <f>AG43*1.97%</f>
        <v>0</v>
      </c>
      <c r="AP43" s="348"/>
      <c r="AQ43" s="352"/>
    </row>
    <row r="44" spans="1:44" ht="15" customHeight="1" x14ac:dyDescent="0.3">
      <c r="A44" s="348"/>
      <c r="B44" s="348"/>
      <c r="C44" s="504"/>
      <c r="D44" s="501"/>
      <c r="E44" s="504"/>
      <c r="F44" s="501"/>
      <c r="G44" s="501"/>
      <c r="H44" s="501"/>
      <c r="I44" s="446"/>
      <c r="J44" s="501"/>
      <c r="K44" s="501"/>
      <c r="L44" s="501"/>
      <c r="M44" s="501"/>
      <c r="N44" s="501"/>
      <c r="O44" s="501"/>
      <c r="P44" s="501"/>
      <c r="Q44" s="504"/>
      <c r="R44" s="501"/>
      <c r="S44" s="501"/>
      <c r="T44" s="501"/>
      <c r="U44" s="501"/>
      <c r="V44" s="501"/>
      <c r="W44" s="501"/>
      <c r="X44" s="352">
        <f t="shared" si="0"/>
        <v>0</v>
      </c>
      <c r="Y44" s="121" t="s">
        <v>465</v>
      </c>
      <c r="Z44" s="496"/>
      <c r="AA44" s="305"/>
      <c r="AB44" s="305"/>
      <c r="AC44" s="293"/>
      <c r="AD44" s="347">
        <f>X44*Z44/100</f>
        <v>0</v>
      </c>
      <c r="AE44" s="352"/>
      <c r="AF44" s="347">
        <f t="shared" ref="AF44:AF51" si="5">X44*AB44/100</f>
        <v>0</v>
      </c>
      <c r="AG44" s="352"/>
      <c r="AH44" s="353">
        <f t="shared" si="3"/>
        <v>0</v>
      </c>
      <c r="AI44" s="354"/>
      <c r="AJ44" s="348"/>
      <c r="AK44" s="348"/>
      <c r="AL44" s="348"/>
      <c r="AM44" s="348"/>
      <c r="AN44" s="348"/>
      <c r="AO44" s="348"/>
      <c r="AP44" s="348"/>
      <c r="AQ44" s="352"/>
    </row>
    <row r="45" spans="1:44" ht="15" customHeight="1" x14ac:dyDescent="0.3">
      <c r="A45" s="348"/>
      <c r="B45" s="348"/>
      <c r="C45" s="501"/>
      <c r="D45" s="501"/>
      <c r="E45" s="501"/>
      <c r="F45" s="501"/>
      <c r="G45" s="501"/>
      <c r="H45" s="501"/>
      <c r="I45" s="501"/>
      <c r="J45" s="501"/>
      <c r="K45" s="501"/>
      <c r="L45" s="501"/>
      <c r="M45" s="501"/>
      <c r="N45" s="501"/>
      <c r="O45" s="501"/>
      <c r="P45" s="501"/>
      <c r="Q45" s="501"/>
      <c r="R45" s="501"/>
      <c r="S45" s="501"/>
      <c r="T45" s="501"/>
      <c r="U45" s="501"/>
      <c r="V45" s="501"/>
      <c r="W45" s="501"/>
      <c r="X45" s="352">
        <f t="shared" si="0"/>
        <v>0</v>
      </c>
      <c r="Y45" s="121" t="s">
        <v>466</v>
      </c>
      <c r="Z45" s="496"/>
      <c r="AA45" s="305"/>
      <c r="AB45" s="305"/>
      <c r="AC45" s="293"/>
      <c r="AD45" s="347">
        <f>X45*Z45/100</f>
        <v>0</v>
      </c>
      <c r="AE45" s="352"/>
      <c r="AF45" s="347">
        <f t="shared" si="5"/>
        <v>0</v>
      </c>
      <c r="AG45" s="352"/>
      <c r="AH45" s="353">
        <f t="shared" si="3"/>
        <v>0</v>
      </c>
      <c r="AI45" s="354"/>
      <c r="AJ45" s="348"/>
      <c r="AK45" s="348"/>
      <c r="AL45" s="348"/>
      <c r="AM45" s="348"/>
      <c r="AN45" s="348"/>
      <c r="AO45" s="348"/>
      <c r="AP45" s="348"/>
      <c r="AQ45" s="352"/>
    </row>
    <row r="46" spans="1:44" ht="15" customHeight="1" x14ac:dyDescent="0.3">
      <c r="A46" s="348"/>
      <c r="B46" s="348"/>
      <c r="C46" s="501"/>
      <c r="D46" s="501"/>
      <c r="E46" s="501"/>
      <c r="F46" s="501"/>
      <c r="G46" s="501"/>
      <c r="H46" s="501"/>
      <c r="I46" s="501"/>
      <c r="J46" s="501"/>
      <c r="K46" s="501"/>
      <c r="L46" s="501"/>
      <c r="M46" s="501"/>
      <c r="N46" s="501"/>
      <c r="O46" s="501"/>
      <c r="P46" s="501"/>
      <c r="Q46" s="501"/>
      <c r="R46" s="501"/>
      <c r="S46" s="503"/>
      <c r="T46" s="501"/>
      <c r="U46" s="501"/>
      <c r="V46" s="501"/>
      <c r="W46" s="501"/>
      <c r="X46" s="352">
        <f t="shared" si="0"/>
        <v>0</v>
      </c>
      <c r="Y46" s="121" t="s">
        <v>467</v>
      </c>
      <c r="Z46" s="496"/>
      <c r="AA46" s="305"/>
      <c r="AB46" s="305"/>
      <c r="AC46" s="293"/>
      <c r="AD46" s="347">
        <f>X46*Z46/100</f>
        <v>0</v>
      </c>
      <c r="AE46" s="352"/>
      <c r="AF46" s="347">
        <f t="shared" si="5"/>
        <v>0</v>
      </c>
      <c r="AG46" s="352"/>
      <c r="AH46" s="353">
        <f t="shared" si="3"/>
        <v>0</v>
      </c>
      <c r="AI46" s="354"/>
      <c r="AJ46" s="348"/>
      <c r="AK46" s="348"/>
      <c r="AL46" s="348"/>
      <c r="AM46" s="348"/>
      <c r="AN46" s="348"/>
      <c r="AO46" s="348"/>
      <c r="AP46" s="348"/>
      <c r="AQ46" s="352"/>
    </row>
    <row r="47" spans="1:44" ht="15" customHeight="1" x14ac:dyDescent="0.3">
      <c r="A47" s="348"/>
      <c r="B47" s="348"/>
      <c r="C47" s="501"/>
      <c r="D47" s="501"/>
      <c r="E47" s="501">
        <v>178.4</v>
      </c>
      <c r="F47" s="501"/>
      <c r="G47" s="501"/>
      <c r="H47" s="501"/>
      <c r="I47" s="501">
        <v>443.6</v>
      </c>
      <c r="J47" s="501"/>
      <c r="K47" s="501"/>
      <c r="L47" s="501"/>
      <c r="M47" s="501"/>
      <c r="N47" s="501"/>
      <c r="O47" s="501"/>
      <c r="P47" s="501"/>
      <c r="Q47" s="501"/>
      <c r="R47" s="501"/>
      <c r="S47" s="501"/>
      <c r="T47" s="501"/>
      <c r="U47" s="501"/>
      <c r="V47" s="501"/>
      <c r="W47" s="501"/>
      <c r="X47" s="352">
        <f t="shared" si="0"/>
        <v>622</v>
      </c>
      <c r="Y47" s="121" t="s">
        <v>468</v>
      </c>
      <c r="Z47" s="496"/>
      <c r="AA47" s="305"/>
      <c r="AB47" s="305">
        <v>103.15</v>
      </c>
      <c r="AC47" s="293"/>
      <c r="AD47" s="347">
        <f>X47*Z47/100</f>
        <v>0</v>
      </c>
      <c r="AE47" s="352"/>
      <c r="AF47" s="347">
        <f t="shared" si="5"/>
        <v>641.59300000000007</v>
      </c>
      <c r="AG47" s="352"/>
      <c r="AH47" s="353">
        <f t="shared" si="3"/>
        <v>0</v>
      </c>
      <c r="AI47" s="354"/>
      <c r="AJ47" s="348"/>
      <c r="AK47" s="348"/>
      <c r="AL47" s="348"/>
      <c r="AM47" s="348"/>
      <c r="AN47" s="348"/>
      <c r="AO47" s="348"/>
      <c r="AP47" s="348"/>
      <c r="AQ47" s="352"/>
    </row>
    <row r="48" spans="1:44" s="444" customFormat="1" ht="15" customHeight="1" x14ac:dyDescent="0.3">
      <c r="A48" s="499"/>
      <c r="B48" s="499"/>
      <c r="C48" s="500"/>
      <c r="D48" s="500"/>
      <c r="E48" s="500"/>
      <c r="F48" s="500"/>
      <c r="G48" s="500"/>
      <c r="H48" s="500"/>
      <c r="I48" s="501"/>
      <c r="J48" s="501"/>
      <c r="K48" s="500"/>
      <c r="L48" s="500"/>
      <c r="M48" s="500"/>
      <c r="N48" s="410">
        <f>AH48-AE48</f>
        <v>0</v>
      </c>
      <c r="O48" s="501"/>
      <c r="P48" s="501"/>
      <c r="Q48" s="501"/>
      <c r="R48" s="501"/>
      <c r="S48" s="501"/>
      <c r="T48" s="501"/>
      <c r="U48" s="501"/>
      <c r="V48" s="501"/>
      <c r="W48" s="501"/>
      <c r="X48" s="352">
        <f t="shared" si="0"/>
        <v>0</v>
      </c>
      <c r="Y48" s="121" t="s">
        <v>469</v>
      </c>
      <c r="Z48" s="424"/>
      <c r="AA48" s="410"/>
      <c r="AB48" s="410"/>
      <c r="AC48" s="423"/>
      <c r="AD48" s="496">
        <f>-AG48/$D$2%</f>
        <v>0</v>
      </c>
      <c r="AE48" s="293"/>
      <c r="AF48" s="424">
        <f>X48*AB48/100</f>
        <v>0</v>
      </c>
      <c r="AG48" s="293"/>
      <c r="AH48" s="443"/>
      <c r="AI48" s="495"/>
      <c r="AJ48" s="499"/>
      <c r="AK48" s="499"/>
      <c r="AL48" s="499"/>
      <c r="AM48" s="499"/>
      <c r="AN48" s="499"/>
      <c r="AO48" s="499"/>
      <c r="AP48" s="499"/>
      <c r="AQ48" s="498"/>
    </row>
    <row r="49" spans="1:43" s="444" customFormat="1" ht="15" customHeight="1" x14ac:dyDescent="0.3">
      <c r="A49" s="499"/>
      <c r="B49" s="499"/>
      <c r="C49" s="500"/>
      <c r="D49" s="500"/>
      <c r="E49" s="500"/>
      <c r="F49" s="500"/>
      <c r="G49" s="500"/>
      <c r="H49" s="500"/>
      <c r="I49" s="501"/>
      <c r="J49" s="501"/>
      <c r="K49" s="500"/>
      <c r="L49" s="500"/>
      <c r="M49" s="500"/>
      <c r="N49" s="410"/>
      <c r="O49" s="501"/>
      <c r="P49" s="501"/>
      <c r="Q49" s="501"/>
      <c r="R49" s="501"/>
      <c r="S49" s="501"/>
      <c r="T49" s="501"/>
      <c r="U49" s="501"/>
      <c r="V49" s="501"/>
      <c r="W49" s="501"/>
      <c r="X49" s="352">
        <f t="shared" si="0"/>
        <v>0</v>
      </c>
      <c r="Y49" s="121" t="s">
        <v>470</v>
      </c>
      <c r="Z49" s="424"/>
      <c r="AA49" s="410"/>
      <c r="AB49" s="410"/>
      <c r="AC49" s="423"/>
      <c r="AD49" s="496">
        <f>-AG49/$D$2%</f>
        <v>0</v>
      </c>
      <c r="AE49" s="293"/>
      <c r="AF49" s="496">
        <f>X49*AB49/100</f>
        <v>0</v>
      </c>
      <c r="AG49" s="293"/>
      <c r="AH49" s="443"/>
      <c r="AI49" s="495"/>
      <c r="AJ49" s="499"/>
      <c r="AK49" s="499"/>
      <c r="AL49" s="499"/>
      <c r="AM49" s="499"/>
      <c r="AN49" s="499"/>
      <c r="AO49" s="499"/>
      <c r="AP49" s="499"/>
      <c r="AQ49" s="498"/>
    </row>
    <row r="50" spans="1:43" ht="15" customHeight="1" x14ac:dyDescent="0.3">
      <c r="A50" s="348"/>
      <c r="B50" s="348"/>
      <c r="C50" s="500"/>
      <c r="D50" s="500"/>
      <c r="E50" s="500"/>
      <c r="F50" s="500"/>
      <c r="G50" s="500"/>
      <c r="H50" s="500"/>
      <c r="I50" s="500"/>
      <c r="J50" s="500"/>
      <c r="K50" s="500"/>
      <c r="L50" s="500"/>
      <c r="M50" s="500"/>
      <c r="N50" s="305"/>
      <c r="O50" s="501"/>
      <c r="P50" s="501"/>
      <c r="Q50" s="501"/>
      <c r="R50" s="501"/>
      <c r="S50" s="501"/>
      <c r="T50" s="501"/>
      <c r="U50" s="501"/>
      <c r="V50" s="501"/>
      <c r="W50" s="501"/>
      <c r="X50" s="352">
        <f t="shared" si="0"/>
        <v>0</v>
      </c>
      <c r="Y50" s="456" t="s">
        <v>471</v>
      </c>
      <c r="Z50" s="496"/>
      <c r="AA50" s="305"/>
      <c r="AB50" s="305"/>
      <c r="AC50" s="293"/>
      <c r="AD50" s="347"/>
      <c r="AE50" s="352"/>
      <c r="AF50" s="347">
        <f t="shared" si="5"/>
        <v>0</v>
      </c>
      <c r="AG50" s="352"/>
      <c r="AH50" s="353">
        <f t="shared" si="3"/>
        <v>0</v>
      </c>
      <c r="AI50" s="354"/>
      <c r="AJ50" s="348"/>
      <c r="AK50" s="348"/>
      <c r="AL50" s="348"/>
      <c r="AM50" s="348"/>
      <c r="AN50" s="348"/>
      <c r="AO50" s="348"/>
      <c r="AP50" s="348"/>
      <c r="AQ50" s="352"/>
    </row>
    <row r="51" spans="1:43" ht="15" customHeight="1" x14ac:dyDescent="0.3">
      <c r="A51" s="348"/>
      <c r="B51" s="348"/>
      <c r="C51" s="500"/>
      <c r="D51" s="500"/>
      <c r="E51" s="500"/>
      <c r="F51" s="500"/>
      <c r="G51" s="500"/>
      <c r="H51" s="500"/>
      <c r="I51" s="500"/>
      <c r="J51" s="500"/>
      <c r="K51" s="500"/>
      <c r="L51" s="500"/>
      <c r="M51" s="500"/>
      <c r="N51" s="305"/>
      <c r="O51" s="501"/>
      <c r="P51" s="501"/>
      <c r="Q51" s="501"/>
      <c r="R51" s="501"/>
      <c r="S51" s="501"/>
      <c r="T51" s="501"/>
      <c r="U51" s="501"/>
      <c r="V51" s="501"/>
      <c r="W51" s="501"/>
      <c r="X51" s="352">
        <f t="shared" si="0"/>
        <v>0</v>
      </c>
      <c r="Y51" s="121" t="s">
        <v>472</v>
      </c>
      <c r="Z51" s="496"/>
      <c r="AA51" s="305"/>
      <c r="AB51" s="305"/>
      <c r="AC51" s="293"/>
      <c r="AD51" s="347">
        <f>X51*Z51/100</f>
        <v>0</v>
      </c>
      <c r="AE51" s="352"/>
      <c r="AF51" s="347">
        <f t="shared" si="5"/>
        <v>0</v>
      </c>
      <c r="AG51" s="352"/>
      <c r="AH51" s="353">
        <f t="shared" si="3"/>
        <v>0</v>
      </c>
      <c r="AI51" s="354"/>
      <c r="AJ51" s="348"/>
      <c r="AK51" s="348"/>
      <c r="AL51" s="348"/>
      <c r="AM51" s="348"/>
      <c r="AN51" s="348"/>
      <c r="AO51" s="348"/>
      <c r="AP51" s="348"/>
      <c r="AQ51" s="352"/>
    </row>
    <row r="52" spans="1:43" ht="15" customHeight="1" x14ac:dyDescent="0.3">
      <c r="A52" s="348"/>
      <c r="B52" s="348"/>
      <c r="C52" s="500"/>
      <c r="D52" s="500"/>
      <c r="E52" s="500"/>
      <c r="F52" s="500"/>
      <c r="G52" s="500"/>
      <c r="H52" s="500"/>
      <c r="I52" s="500"/>
      <c r="J52" s="500"/>
      <c r="K52" s="500"/>
      <c r="L52" s="500"/>
      <c r="M52" s="500"/>
      <c r="N52" s="305"/>
      <c r="O52" s="501"/>
      <c r="P52" s="501"/>
      <c r="Q52" s="501"/>
      <c r="R52" s="501"/>
      <c r="S52" s="501"/>
      <c r="T52" s="501"/>
      <c r="U52" s="501"/>
      <c r="V52" s="501"/>
      <c r="W52" s="501"/>
      <c r="X52" s="352">
        <f t="shared" si="0"/>
        <v>0</v>
      </c>
      <c r="Y52" s="121" t="s">
        <v>473</v>
      </c>
      <c r="Z52" s="496"/>
      <c r="AA52" s="305"/>
      <c r="AB52" s="305"/>
      <c r="AC52" s="293">
        <f>100-25</f>
        <v>75</v>
      </c>
      <c r="AD52" s="424"/>
      <c r="AE52" s="423"/>
      <c r="AF52" s="424">
        <f>-SUM(AF44:AF51)</f>
        <v>-641.59300000000007</v>
      </c>
      <c r="AG52" s="423">
        <f>-AF52*AC52/100</f>
        <v>481.19475000000006</v>
      </c>
      <c r="AH52" s="353">
        <f t="shared" si="3"/>
        <v>481.19475</v>
      </c>
      <c r="AI52" s="354">
        <f>AG52*62.71%</f>
        <v>301.75722772500001</v>
      </c>
      <c r="AJ52" s="354">
        <f>AG52*9.72%</f>
        <v>46.772129700000008</v>
      </c>
      <c r="AK52" s="348">
        <f>AG52*12.13%</f>
        <v>58.368923175000006</v>
      </c>
      <c r="AL52" s="348">
        <f>AG52*7.13%</f>
        <v>34.309185675000002</v>
      </c>
      <c r="AM52" s="348">
        <f>AG52*0%</f>
        <v>0</v>
      </c>
      <c r="AN52" s="348">
        <f>AG52*6.34%</f>
        <v>30.507747150000004</v>
      </c>
      <c r="AO52" s="348">
        <f>AG52*1.97%</f>
        <v>9.4795365750000009</v>
      </c>
      <c r="AP52" s="348"/>
      <c r="AQ52" s="352"/>
    </row>
    <row r="53" spans="1:43" ht="15" customHeight="1" x14ac:dyDescent="0.3">
      <c r="A53" s="348"/>
      <c r="B53" s="348"/>
      <c r="C53" s="500"/>
      <c r="D53" s="500"/>
      <c r="E53" s="500"/>
      <c r="F53" s="500"/>
      <c r="G53" s="500"/>
      <c r="H53" s="500"/>
      <c r="I53" s="501">
        <v>15.7</v>
      </c>
      <c r="J53" s="500"/>
      <c r="K53" s="500"/>
      <c r="L53" s="500"/>
      <c r="M53" s="500"/>
      <c r="N53" s="305"/>
      <c r="O53" s="501"/>
      <c r="P53" s="501"/>
      <c r="Q53" s="501"/>
      <c r="R53" s="501"/>
      <c r="S53" s="501"/>
      <c r="T53" s="501"/>
      <c r="U53" s="501"/>
      <c r="V53" s="501">
        <v>10.5</v>
      </c>
      <c r="W53" s="501"/>
      <c r="X53" s="352">
        <f t="shared" si="0"/>
        <v>26.2</v>
      </c>
      <c r="Y53" s="121" t="s">
        <v>474</v>
      </c>
      <c r="Z53" s="496">
        <v>9</v>
      </c>
      <c r="AA53" s="305"/>
      <c r="AB53" s="305"/>
      <c r="AC53" s="293"/>
      <c r="AD53" s="424">
        <f>X53*Z53/100</f>
        <v>2.3579999999999997</v>
      </c>
      <c r="AE53" s="423"/>
      <c r="AF53" s="424">
        <f>X53*AB53/100</f>
        <v>0</v>
      </c>
      <c r="AG53" s="423"/>
      <c r="AH53" s="353">
        <f t="shared" ref="AH53:AH80" si="6">SUM(AI53:AQ53)</f>
        <v>0</v>
      </c>
      <c r="AI53" s="354"/>
      <c r="AJ53" s="305"/>
      <c r="AK53" s="499"/>
      <c r="AL53" s="499"/>
      <c r="AM53" s="499"/>
      <c r="AN53" s="499"/>
      <c r="AO53" s="499"/>
      <c r="AP53" s="499"/>
      <c r="AQ53" s="352"/>
    </row>
    <row r="54" spans="1:43" ht="15" customHeight="1" x14ac:dyDescent="0.3">
      <c r="A54" s="348"/>
      <c r="B54" s="348"/>
      <c r="C54" s="500"/>
      <c r="D54" s="500"/>
      <c r="E54" s="500"/>
      <c r="F54" s="500"/>
      <c r="G54" s="500"/>
      <c r="H54" s="500"/>
      <c r="I54" s="500"/>
      <c r="J54" s="500"/>
      <c r="K54" s="500"/>
      <c r="L54" s="500"/>
      <c r="M54" s="500"/>
      <c r="N54" s="305"/>
      <c r="O54" s="501"/>
      <c r="P54" s="501"/>
      <c r="Q54" s="501"/>
      <c r="R54" s="501"/>
      <c r="S54" s="501"/>
      <c r="T54" s="501"/>
      <c r="U54" s="501"/>
      <c r="V54" s="501"/>
      <c r="W54" s="501"/>
      <c r="X54" s="352">
        <f t="shared" si="0"/>
        <v>0</v>
      </c>
      <c r="Y54" s="121" t="s">
        <v>475</v>
      </c>
      <c r="Z54" s="496"/>
      <c r="AA54" s="305">
        <v>36.61</v>
      </c>
      <c r="AB54" s="305">
        <v>47.64</v>
      </c>
      <c r="AC54" s="293"/>
      <c r="AD54" s="424">
        <f>X54*Z54/100</f>
        <v>0</v>
      </c>
      <c r="AE54" s="423"/>
      <c r="AF54" s="424">
        <f>X54*AB54/100</f>
        <v>0</v>
      </c>
      <c r="AG54" s="423"/>
      <c r="AH54" s="353">
        <f t="shared" si="6"/>
        <v>0</v>
      </c>
      <c r="AI54" s="354"/>
      <c r="AJ54" s="305"/>
      <c r="AK54" s="499"/>
      <c r="AL54" s="499"/>
      <c r="AM54" s="499"/>
      <c r="AN54" s="499"/>
      <c r="AO54" s="499"/>
      <c r="AP54" s="499"/>
      <c r="AQ54" s="352"/>
    </row>
    <row r="55" spans="1:43" ht="15" customHeight="1" x14ac:dyDescent="0.3">
      <c r="A55" s="348"/>
      <c r="B55" s="348"/>
      <c r="C55" s="500"/>
      <c r="D55" s="500"/>
      <c r="E55" s="500"/>
      <c r="F55" s="500"/>
      <c r="G55" s="500"/>
      <c r="H55" s="500"/>
      <c r="I55" s="500"/>
      <c r="J55" s="500"/>
      <c r="K55" s="500"/>
      <c r="L55" s="500"/>
      <c r="M55" s="500"/>
      <c r="N55" s="305"/>
      <c r="O55" s="501"/>
      <c r="P55" s="501"/>
      <c r="Q55" s="501"/>
      <c r="R55" s="501"/>
      <c r="S55" s="501"/>
      <c r="T55" s="501"/>
      <c r="U55" s="501"/>
      <c r="V55" s="501"/>
      <c r="W55" s="501"/>
      <c r="X55" s="352">
        <f t="shared" si="0"/>
        <v>0</v>
      </c>
      <c r="Y55" s="121" t="s">
        <v>476</v>
      </c>
      <c r="Z55" s="496"/>
      <c r="AA55" s="305"/>
      <c r="AB55" s="305"/>
      <c r="AC55" s="293">
        <f>100-25</f>
        <v>75</v>
      </c>
      <c r="AD55" s="424"/>
      <c r="AE55" s="423"/>
      <c r="AF55" s="424">
        <f>-SUM(AF53:AF54)</f>
        <v>0</v>
      </c>
      <c r="AG55" s="423">
        <f>-AF55*AC55/100</f>
        <v>0</v>
      </c>
      <c r="AH55" s="353">
        <f t="shared" si="6"/>
        <v>0</v>
      </c>
      <c r="AI55" s="354">
        <f>AG55*62.71%</f>
        <v>0</v>
      </c>
      <c r="AJ55" s="354">
        <f>AG55*9.72%</f>
        <v>0</v>
      </c>
      <c r="AK55" s="348">
        <f>AG55*12.13%</f>
        <v>0</v>
      </c>
      <c r="AL55" s="348">
        <f>AG55*7.13%</f>
        <v>0</v>
      </c>
      <c r="AM55" s="348">
        <f>AG55*0%</f>
        <v>0</v>
      </c>
      <c r="AN55" s="348">
        <f>AG55*6.34%</f>
        <v>0</v>
      </c>
      <c r="AO55" s="348">
        <f>AG55*1.97%</f>
        <v>0</v>
      </c>
      <c r="AP55" s="348"/>
      <c r="AQ55" s="352"/>
    </row>
    <row r="56" spans="1:43" ht="15" customHeight="1" x14ac:dyDescent="0.3">
      <c r="A56" s="348"/>
      <c r="B56" s="348"/>
      <c r="C56" s="500"/>
      <c r="D56" s="501"/>
      <c r="E56" s="501">
        <v>0.6</v>
      </c>
      <c r="F56" s="501"/>
      <c r="G56" s="501"/>
      <c r="H56" s="501"/>
      <c r="I56" s="501">
        <v>714</v>
      </c>
      <c r="J56" s="500"/>
      <c r="K56" s="500"/>
      <c r="L56" s="500"/>
      <c r="M56" s="500"/>
      <c r="N56" s="305"/>
      <c r="O56" s="501"/>
      <c r="P56" s="501"/>
      <c r="Q56" s="501"/>
      <c r="R56" s="501"/>
      <c r="S56" s="501"/>
      <c r="T56" s="501"/>
      <c r="U56" s="501"/>
      <c r="V56" s="501"/>
      <c r="W56" s="501"/>
      <c r="X56" s="352">
        <f t="shared" si="0"/>
        <v>714.6</v>
      </c>
      <c r="Y56" s="121" t="s">
        <v>477</v>
      </c>
      <c r="Z56" s="496"/>
      <c r="AA56" s="305"/>
      <c r="AB56" s="305">
        <v>99.38</v>
      </c>
      <c r="AC56" s="293"/>
      <c r="AD56" s="424"/>
      <c r="AE56" s="423"/>
      <c r="AF56" s="424">
        <f>X56*AB56/100</f>
        <v>710.16948000000002</v>
      </c>
      <c r="AG56" s="423"/>
      <c r="AH56" s="353">
        <f t="shared" si="6"/>
        <v>0</v>
      </c>
      <c r="AI56" s="354"/>
      <c r="AJ56" s="348"/>
      <c r="AK56" s="348"/>
      <c r="AL56" s="348"/>
      <c r="AM56" s="348"/>
      <c r="AN56" s="348"/>
      <c r="AO56" s="348"/>
      <c r="AP56" s="348"/>
      <c r="AQ56" s="352"/>
    </row>
    <row r="57" spans="1:43" ht="15" customHeight="1" x14ac:dyDescent="0.25">
      <c r="A57" s="348"/>
      <c r="B57" s="348"/>
      <c r="C57" s="457"/>
      <c r="D57" s="457"/>
      <c r="E57" s="457"/>
      <c r="F57" s="457"/>
      <c r="G57" s="457"/>
      <c r="H57" s="457"/>
      <c r="I57" s="458"/>
      <c r="J57" s="457"/>
      <c r="K57" s="457"/>
      <c r="L57" s="457"/>
      <c r="M57" s="457"/>
      <c r="N57" s="410"/>
      <c r="O57" s="458"/>
      <c r="P57" s="458"/>
      <c r="Q57" s="458"/>
      <c r="R57" s="458"/>
      <c r="S57" s="458"/>
      <c r="T57" s="458"/>
      <c r="U57" s="458"/>
      <c r="V57" s="458"/>
      <c r="W57" s="458"/>
      <c r="X57" s="352">
        <f t="shared" si="0"/>
        <v>0</v>
      </c>
      <c r="Y57" s="121" t="s">
        <v>478</v>
      </c>
      <c r="Z57" s="424"/>
      <c r="AA57" s="410"/>
      <c r="AB57" s="410"/>
      <c r="AC57" s="423"/>
      <c r="AD57" s="424">
        <f>-AG57/$D$2%</f>
        <v>0</v>
      </c>
      <c r="AE57" s="423"/>
      <c r="AF57" s="424">
        <f>AE57*AB57%</f>
        <v>0</v>
      </c>
      <c r="AG57" s="352"/>
      <c r="AH57" s="353"/>
      <c r="AI57" s="354"/>
      <c r="AJ57" s="348"/>
      <c r="AK57" s="348"/>
      <c r="AL57" s="348"/>
      <c r="AM57" s="348"/>
      <c r="AN57" s="348"/>
      <c r="AO57" s="348"/>
      <c r="AP57" s="348"/>
      <c r="AQ57" s="352"/>
    </row>
    <row r="58" spans="1:43" ht="15" customHeight="1" x14ac:dyDescent="0.25">
      <c r="A58" s="410"/>
      <c r="B58" s="410"/>
      <c r="C58" s="458"/>
      <c r="D58" s="458"/>
      <c r="E58" s="458"/>
      <c r="F58" s="458"/>
      <c r="G58" s="458"/>
      <c r="H58" s="458"/>
      <c r="I58" s="458"/>
      <c r="J58" s="458"/>
      <c r="K58" s="458"/>
      <c r="L58" s="458"/>
      <c r="M58" s="458"/>
      <c r="N58" s="458"/>
      <c r="O58" s="458"/>
      <c r="P58" s="458"/>
      <c r="Q58" s="458"/>
      <c r="R58" s="458"/>
      <c r="S58" s="458"/>
      <c r="T58" s="458"/>
      <c r="U58" s="458"/>
      <c r="V58" s="458"/>
      <c r="W58" s="458"/>
      <c r="X58" s="352">
        <f t="shared" si="0"/>
        <v>0</v>
      </c>
      <c r="Y58" s="121" t="s">
        <v>479</v>
      </c>
      <c r="Z58" s="424"/>
      <c r="AA58" s="410"/>
      <c r="AB58" s="410"/>
      <c r="AC58" s="423"/>
      <c r="AD58" s="424"/>
      <c r="AE58" s="423"/>
      <c r="AF58" s="440">
        <f>AE58*AB58%</f>
        <v>0</v>
      </c>
      <c r="AG58" s="423"/>
      <c r="AH58" s="353"/>
      <c r="AI58" s="354"/>
      <c r="AJ58" s="348"/>
      <c r="AK58" s="348"/>
      <c r="AL58" s="348"/>
      <c r="AM58" s="348"/>
      <c r="AN58" s="348"/>
      <c r="AO58" s="348"/>
      <c r="AP58" s="348"/>
      <c r="AQ58" s="352"/>
    </row>
    <row r="59" spans="1:43" ht="15" customHeight="1" x14ac:dyDescent="0.25">
      <c r="A59" s="348"/>
      <c r="B59" s="348"/>
      <c r="C59" s="458"/>
      <c r="D59" s="458"/>
      <c r="E59" s="458"/>
      <c r="F59" s="458"/>
      <c r="G59" s="458"/>
      <c r="H59" s="458"/>
      <c r="I59" s="458"/>
      <c r="J59" s="458"/>
      <c r="K59" s="458"/>
      <c r="L59" s="458"/>
      <c r="M59" s="458"/>
      <c r="N59" s="458"/>
      <c r="O59" s="458"/>
      <c r="P59" s="458"/>
      <c r="Q59" s="458"/>
      <c r="R59" s="458"/>
      <c r="S59" s="458"/>
      <c r="T59" s="458"/>
      <c r="U59" s="458"/>
      <c r="V59" s="458"/>
      <c r="W59" s="458"/>
      <c r="X59" s="352">
        <f t="shared" si="0"/>
        <v>0</v>
      </c>
      <c r="Y59" s="121" t="s">
        <v>480</v>
      </c>
      <c r="Z59" s="424"/>
      <c r="AA59" s="410"/>
      <c r="AB59" s="410"/>
      <c r="AC59" s="423"/>
      <c r="AD59" s="424"/>
      <c r="AE59" s="423"/>
      <c r="AF59" s="424">
        <f>X59*AB59/100</f>
        <v>0</v>
      </c>
      <c r="AG59" s="423"/>
      <c r="AH59" s="353"/>
      <c r="AI59" s="354"/>
      <c r="AJ59" s="348"/>
      <c r="AK59" s="348"/>
      <c r="AL59" s="348"/>
      <c r="AM59" s="348"/>
      <c r="AN59" s="348"/>
      <c r="AO59" s="348"/>
      <c r="AP59" s="348"/>
      <c r="AQ59" s="352"/>
    </row>
    <row r="60" spans="1:43" ht="15" customHeight="1" x14ac:dyDescent="0.3">
      <c r="A60" s="348"/>
      <c r="B60" s="348"/>
      <c r="C60" s="500"/>
      <c r="D60" s="500"/>
      <c r="E60" s="500"/>
      <c r="F60" s="500"/>
      <c r="G60" s="500"/>
      <c r="H60" s="500"/>
      <c r="I60" s="505"/>
      <c r="J60" s="500"/>
      <c r="K60" s="500"/>
      <c r="L60" s="501"/>
      <c r="M60" s="500"/>
      <c r="N60" s="501"/>
      <c r="O60" s="501"/>
      <c r="P60" s="501"/>
      <c r="Q60" s="501"/>
      <c r="R60" s="501"/>
      <c r="S60" s="501"/>
      <c r="T60" s="501"/>
      <c r="U60" s="501"/>
      <c r="V60" s="501"/>
      <c r="W60" s="501"/>
      <c r="X60" s="352">
        <f t="shared" si="0"/>
        <v>0</v>
      </c>
      <c r="Y60" s="121" t="s">
        <v>481</v>
      </c>
      <c r="Z60" s="496"/>
      <c r="AA60" s="305"/>
      <c r="AB60" s="305"/>
      <c r="AC60" s="293"/>
      <c r="AD60" s="424"/>
      <c r="AE60" s="423"/>
      <c r="AF60" s="424">
        <f>X60*AB60/100</f>
        <v>0</v>
      </c>
      <c r="AG60" s="423"/>
      <c r="AH60" s="353">
        <f t="shared" si="6"/>
        <v>0</v>
      </c>
      <c r="AI60" s="354"/>
      <c r="AJ60" s="348"/>
      <c r="AK60" s="348"/>
      <c r="AL60" s="348"/>
      <c r="AM60" s="348"/>
      <c r="AN60" s="348"/>
      <c r="AO60" s="348"/>
      <c r="AP60" s="348"/>
      <c r="AQ60" s="352"/>
    </row>
    <row r="61" spans="1:43" ht="15" customHeight="1" x14ac:dyDescent="0.3">
      <c r="A61" s="347"/>
      <c r="B61" s="348"/>
      <c r="C61" s="500"/>
      <c r="D61" s="500"/>
      <c r="E61" s="500"/>
      <c r="F61" s="500"/>
      <c r="G61" s="500"/>
      <c r="H61" s="500"/>
      <c r="I61" s="500"/>
      <c r="J61" s="500"/>
      <c r="K61" s="500"/>
      <c r="L61" s="500"/>
      <c r="M61" s="500"/>
      <c r="N61" s="501"/>
      <c r="O61" s="501"/>
      <c r="P61" s="501"/>
      <c r="Q61" s="501"/>
      <c r="R61" s="501"/>
      <c r="S61" s="501"/>
      <c r="T61" s="501"/>
      <c r="U61" s="501"/>
      <c r="V61" s="501"/>
      <c r="W61" s="501"/>
      <c r="X61" s="352">
        <f t="shared" si="0"/>
        <v>0</v>
      </c>
      <c r="Y61" s="121" t="s">
        <v>482</v>
      </c>
      <c r="Z61" s="496"/>
      <c r="AA61" s="305"/>
      <c r="AB61" s="305"/>
      <c r="AC61" s="293"/>
      <c r="AD61" s="424">
        <f>X61*Z61%</f>
        <v>0</v>
      </c>
      <c r="AE61" s="423"/>
      <c r="AF61" s="424">
        <f>X61*AB61%</f>
        <v>0</v>
      </c>
      <c r="AG61" s="423"/>
      <c r="AH61" s="353">
        <f t="shared" si="6"/>
        <v>0</v>
      </c>
      <c r="AI61" s="354"/>
      <c r="AJ61" s="348"/>
      <c r="AK61" s="348"/>
      <c r="AL61" s="348"/>
      <c r="AM61" s="348"/>
      <c r="AN61" s="348"/>
      <c r="AO61" s="348"/>
      <c r="AP61" s="348"/>
      <c r="AQ61" s="352"/>
    </row>
    <row r="62" spans="1:43" ht="15" customHeight="1" x14ac:dyDescent="0.3">
      <c r="A62" s="348"/>
      <c r="B62" s="348"/>
      <c r="C62" s="500"/>
      <c r="D62" s="500"/>
      <c r="E62" s="500"/>
      <c r="F62" s="500"/>
      <c r="G62" s="500"/>
      <c r="H62" s="500"/>
      <c r="I62" s="505"/>
      <c r="J62" s="500"/>
      <c r="K62" s="500"/>
      <c r="L62" s="500"/>
      <c r="M62" s="500"/>
      <c r="N62" s="500"/>
      <c r="O62" s="500"/>
      <c r="P62" s="500"/>
      <c r="Q62" s="500"/>
      <c r="R62" s="500"/>
      <c r="S62" s="500"/>
      <c r="T62" s="500"/>
      <c r="U62" s="500"/>
      <c r="V62" s="500"/>
      <c r="W62" s="500"/>
      <c r="X62" s="352">
        <f t="shared" si="0"/>
        <v>0</v>
      </c>
      <c r="Y62" s="121" t="s">
        <v>483</v>
      </c>
      <c r="Z62" s="496"/>
      <c r="AA62" s="305"/>
      <c r="AB62" s="305"/>
      <c r="AC62" s="293">
        <f>100-25</f>
        <v>75</v>
      </c>
      <c r="AD62" s="424"/>
      <c r="AE62" s="423"/>
      <c r="AF62" s="497">
        <f>-SUM(AF56:AF60)</f>
        <v>-710.16948000000002</v>
      </c>
      <c r="AG62" s="423">
        <f>-AF62*AC62/100</f>
        <v>532.62711000000002</v>
      </c>
      <c r="AH62" s="353">
        <f t="shared" si="6"/>
        <v>532.62711000000002</v>
      </c>
      <c r="AI62" s="354">
        <f>AG62*62.71%</f>
        <v>334.01046068099998</v>
      </c>
      <c r="AJ62" s="354">
        <f>AG62*9.72%</f>
        <v>51.771355092000007</v>
      </c>
      <c r="AK62" s="348">
        <f>AG62*12.13%</f>
        <v>64.607668443000009</v>
      </c>
      <c r="AL62" s="348">
        <f>AG62*7.13%</f>
        <v>37.976312943000003</v>
      </c>
      <c r="AM62" s="348">
        <f>AG62*0%</f>
        <v>0</v>
      </c>
      <c r="AN62" s="348">
        <f>AG62*6.34%</f>
        <v>33.768558773999999</v>
      </c>
      <c r="AO62" s="348">
        <f>AG62*1.97%</f>
        <v>10.492754067</v>
      </c>
      <c r="AP62" s="348"/>
      <c r="AQ62" s="352"/>
    </row>
    <row r="63" spans="1:43" ht="15" customHeight="1" x14ac:dyDescent="0.3">
      <c r="A63" s="348"/>
      <c r="B63" s="348"/>
      <c r="C63" s="500"/>
      <c r="D63" s="500"/>
      <c r="E63" s="500"/>
      <c r="F63" s="500"/>
      <c r="G63" s="500"/>
      <c r="H63" s="500"/>
      <c r="I63" s="501"/>
      <c r="J63" s="500"/>
      <c r="K63" s="500"/>
      <c r="L63" s="500"/>
      <c r="M63" s="500"/>
      <c r="N63" s="500"/>
      <c r="O63" s="500"/>
      <c r="P63" s="500"/>
      <c r="Q63" s="500"/>
      <c r="R63" s="500"/>
      <c r="S63" s="500"/>
      <c r="T63" s="500"/>
      <c r="U63" s="500"/>
      <c r="V63" s="500"/>
      <c r="W63" s="500"/>
      <c r="X63" s="352">
        <f t="shared" si="0"/>
        <v>0</v>
      </c>
      <c r="Y63" s="121" t="s">
        <v>484</v>
      </c>
      <c r="Z63" s="496"/>
      <c r="AA63" s="305"/>
      <c r="AB63" s="305"/>
      <c r="AC63" s="293"/>
      <c r="AD63" s="347">
        <f t="shared" ref="AD63:AD68" si="7">Z63/100*X63</f>
        <v>0</v>
      </c>
      <c r="AE63" s="352"/>
      <c r="AF63" s="347">
        <f t="shared" ref="AF63:AF67" si="8">X63*AB63/100</f>
        <v>0</v>
      </c>
      <c r="AG63" s="352"/>
      <c r="AH63" s="353">
        <f t="shared" si="6"/>
        <v>0</v>
      </c>
      <c r="AI63" s="354"/>
      <c r="AJ63" s="348"/>
      <c r="AK63" s="348"/>
      <c r="AL63" s="348"/>
      <c r="AM63" s="348"/>
      <c r="AN63" s="348"/>
      <c r="AO63" s="348"/>
      <c r="AP63" s="348"/>
      <c r="AQ63" s="352"/>
    </row>
    <row r="64" spans="1:43" ht="15" customHeight="1" x14ac:dyDescent="0.3">
      <c r="A64" s="348"/>
      <c r="B64" s="348"/>
      <c r="C64" s="500"/>
      <c r="D64" s="500"/>
      <c r="E64" s="500"/>
      <c r="F64" s="500"/>
      <c r="G64" s="500"/>
      <c r="H64" s="500"/>
      <c r="I64" s="500"/>
      <c r="J64" s="500"/>
      <c r="K64" s="500"/>
      <c r="L64" s="500"/>
      <c r="M64" s="500"/>
      <c r="N64" s="500"/>
      <c r="O64" s="501"/>
      <c r="P64" s="501"/>
      <c r="Q64" s="501"/>
      <c r="R64" s="501"/>
      <c r="S64" s="501"/>
      <c r="T64" s="501"/>
      <c r="U64" s="500"/>
      <c r="V64" s="500"/>
      <c r="W64" s="500"/>
      <c r="X64" s="352">
        <f t="shared" si="0"/>
        <v>0</v>
      </c>
      <c r="Y64" s="121" t="s">
        <v>485</v>
      </c>
      <c r="Z64" s="496"/>
      <c r="AA64" s="305"/>
      <c r="AB64" s="305"/>
      <c r="AC64" s="293"/>
      <c r="AD64" s="347">
        <f t="shared" si="7"/>
        <v>0</v>
      </c>
      <c r="AE64" s="352"/>
      <c r="AF64" s="347">
        <f t="shared" si="8"/>
        <v>0</v>
      </c>
      <c r="AG64" s="352"/>
      <c r="AH64" s="353">
        <f t="shared" si="6"/>
        <v>0</v>
      </c>
      <c r="AI64" s="354"/>
      <c r="AJ64" s="348"/>
      <c r="AK64" s="348"/>
      <c r="AL64" s="348"/>
      <c r="AM64" s="348"/>
      <c r="AN64" s="348"/>
      <c r="AO64" s="348"/>
      <c r="AP64" s="348"/>
      <c r="AQ64" s="352"/>
    </row>
    <row r="65" spans="1:43" ht="15" customHeight="1" x14ac:dyDescent="0.3">
      <c r="A65" s="348"/>
      <c r="B65" s="348"/>
      <c r="C65" s="500"/>
      <c r="D65" s="500"/>
      <c r="E65" s="500"/>
      <c r="F65" s="500"/>
      <c r="G65" s="500"/>
      <c r="H65" s="500"/>
      <c r="I65" s="501"/>
      <c r="J65" s="500"/>
      <c r="K65" s="500"/>
      <c r="L65" s="500"/>
      <c r="M65" s="500"/>
      <c r="N65" s="500"/>
      <c r="O65" s="500"/>
      <c r="P65" s="500"/>
      <c r="Q65" s="500"/>
      <c r="R65" s="500"/>
      <c r="S65" s="500"/>
      <c r="T65" s="500"/>
      <c r="U65" s="500"/>
      <c r="V65" s="500"/>
      <c r="W65" s="500"/>
      <c r="X65" s="352">
        <f t="shared" si="0"/>
        <v>0</v>
      </c>
      <c r="Y65" s="121" t="s">
        <v>486</v>
      </c>
      <c r="Z65" s="496"/>
      <c r="AA65" s="305"/>
      <c r="AB65" s="305"/>
      <c r="AC65" s="293"/>
      <c r="AD65" s="347">
        <f t="shared" si="7"/>
        <v>0</v>
      </c>
      <c r="AE65" s="352"/>
      <c r="AF65" s="347">
        <f t="shared" si="8"/>
        <v>0</v>
      </c>
      <c r="AG65" s="352"/>
      <c r="AH65" s="353">
        <f t="shared" si="6"/>
        <v>0</v>
      </c>
      <c r="AI65" s="354"/>
      <c r="AJ65" s="348"/>
      <c r="AK65" s="348"/>
      <c r="AL65" s="348"/>
      <c r="AM65" s="348"/>
      <c r="AN65" s="348"/>
      <c r="AO65" s="348"/>
      <c r="AP65" s="348"/>
      <c r="AQ65" s="352"/>
    </row>
    <row r="66" spans="1:43" ht="15" customHeight="1" x14ac:dyDescent="0.3">
      <c r="A66" s="348"/>
      <c r="B66" s="348"/>
      <c r="C66" s="410"/>
      <c r="D66" s="410"/>
      <c r="E66" s="410"/>
      <c r="F66" s="410"/>
      <c r="G66" s="410"/>
      <c r="H66" s="410"/>
      <c r="I66" s="410"/>
      <c r="J66" s="348"/>
      <c r="K66" s="348"/>
      <c r="L66" s="348"/>
      <c r="M66" s="348"/>
      <c r="N66" s="348"/>
      <c r="O66" s="410">
        <f>14.2*46%</f>
        <v>6.532</v>
      </c>
      <c r="P66" s="410"/>
      <c r="Q66" s="348"/>
      <c r="R66" s="348"/>
      <c r="S66" s="410">
        <v>14.7</v>
      </c>
      <c r="T66" s="410">
        <f>14.2*54%</f>
        <v>7.6680000000000001</v>
      </c>
      <c r="U66" s="348"/>
      <c r="V66" s="410"/>
      <c r="W66" s="348"/>
      <c r="X66" s="352">
        <f t="shared" si="0"/>
        <v>28.9</v>
      </c>
      <c r="Y66" s="121" t="s">
        <v>487</v>
      </c>
      <c r="Z66" s="496"/>
      <c r="AA66" s="305"/>
      <c r="AB66" s="305">
        <v>90.72</v>
      </c>
      <c r="AC66" s="293"/>
      <c r="AD66" s="347">
        <f t="shared" si="7"/>
        <v>0</v>
      </c>
      <c r="AE66" s="352"/>
      <c r="AF66" s="347">
        <f t="shared" si="8"/>
        <v>26.21808</v>
      </c>
      <c r="AG66" s="352"/>
      <c r="AH66" s="353">
        <f t="shared" si="6"/>
        <v>0</v>
      </c>
      <c r="AI66" s="354"/>
      <c r="AJ66" s="348"/>
      <c r="AK66" s="348"/>
      <c r="AL66" s="348"/>
      <c r="AM66" s="348"/>
      <c r="AN66" s="348"/>
      <c r="AO66" s="348"/>
      <c r="AP66" s="348"/>
      <c r="AQ66" s="352"/>
    </row>
    <row r="67" spans="1:43" ht="15" customHeight="1" x14ac:dyDescent="0.3">
      <c r="A67" s="348"/>
      <c r="B67" s="348"/>
      <c r="C67" s="410"/>
      <c r="D67" s="410"/>
      <c r="E67" s="410"/>
      <c r="F67" s="410"/>
      <c r="G67" s="410"/>
      <c r="H67" s="410"/>
      <c r="I67" s="410"/>
      <c r="J67" s="348"/>
      <c r="K67" s="348"/>
      <c r="L67" s="348"/>
      <c r="M67" s="348"/>
      <c r="N67" s="348"/>
      <c r="O67" s="348"/>
      <c r="P67" s="410"/>
      <c r="Q67" s="348"/>
      <c r="R67" s="348"/>
      <c r="S67" s="348"/>
      <c r="T67" s="348"/>
      <c r="U67" s="348"/>
      <c r="V67" s="410"/>
      <c r="W67" s="348"/>
      <c r="X67" s="352">
        <f t="shared" si="0"/>
        <v>0</v>
      </c>
      <c r="Y67" s="121" t="s">
        <v>488</v>
      </c>
      <c r="Z67" s="496"/>
      <c r="AA67" s="305"/>
      <c r="AB67" s="305"/>
      <c r="AC67" s="293"/>
      <c r="AD67" s="347">
        <f t="shared" si="7"/>
        <v>0</v>
      </c>
      <c r="AE67" s="352"/>
      <c r="AF67" s="347">
        <f t="shared" si="8"/>
        <v>0</v>
      </c>
      <c r="AG67" s="352"/>
      <c r="AH67" s="353">
        <f t="shared" si="6"/>
        <v>0</v>
      </c>
      <c r="AI67" s="354"/>
      <c r="AJ67" s="348"/>
      <c r="AK67" s="348"/>
      <c r="AL67" s="348"/>
      <c r="AM67" s="348"/>
      <c r="AN67" s="348"/>
      <c r="AO67" s="348"/>
      <c r="AP67" s="348"/>
      <c r="AQ67" s="352"/>
    </row>
    <row r="68" spans="1:43" ht="15" customHeight="1" x14ac:dyDescent="0.3">
      <c r="A68" s="348"/>
      <c r="B68" s="348"/>
      <c r="C68" s="410"/>
      <c r="D68" s="410"/>
      <c r="E68" s="410"/>
      <c r="F68" s="410"/>
      <c r="G68" s="410"/>
      <c r="H68" s="410"/>
      <c r="I68" s="410"/>
      <c r="J68" s="348"/>
      <c r="K68" s="348"/>
      <c r="L68" s="348"/>
      <c r="M68" s="348"/>
      <c r="N68" s="348"/>
      <c r="O68" s="348"/>
      <c r="P68" s="410"/>
      <c r="Q68" s="348"/>
      <c r="R68" s="348"/>
      <c r="S68" s="410"/>
      <c r="T68" s="348"/>
      <c r="U68" s="348"/>
      <c r="V68" s="410"/>
      <c r="W68" s="348"/>
      <c r="X68" s="352">
        <f t="shared" si="0"/>
        <v>0</v>
      </c>
      <c r="Y68" s="121" t="s">
        <v>489</v>
      </c>
      <c r="Z68" s="496"/>
      <c r="AA68" s="305"/>
      <c r="AB68" s="305"/>
      <c r="AC68" s="293"/>
      <c r="AD68" s="347">
        <f t="shared" si="7"/>
        <v>0</v>
      </c>
      <c r="AE68" s="498"/>
      <c r="AF68" s="496">
        <v>6.5</v>
      </c>
      <c r="AG68" s="352"/>
      <c r="AH68" s="353">
        <f t="shared" si="6"/>
        <v>0</v>
      </c>
      <c r="AI68" s="354"/>
      <c r="AJ68" s="348"/>
      <c r="AK68" s="348"/>
      <c r="AL68" s="348"/>
      <c r="AM68" s="348"/>
      <c r="AN68" s="348"/>
      <c r="AO68" s="348"/>
      <c r="AP68" s="348"/>
      <c r="AQ68" s="352"/>
    </row>
    <row r="69" spans="1:43" ht="15" customHeight="1" x14ac:dyDescent="0.3">
      <c r="A69" s="348"/>
      <c r="B69" s="348"/>
      <c r="C69" s="348"/>
      <c r="D69" s="348"/>
      <c r="E69" s="348"/>
      <c r="F69" s="348"/>
      <c r="G69" s="348"/>
      <c r="H69" s="348"/>
      <c r="I69" s="348"/>
      <c r="J69" s="348"/>
      <c r="K69" s="348"/>
      <c r="L69" s="348"/>
      <c r="M69" s="348"/>
      <c r="N69" s="348"/>
      <c r="O69" s="348"/>
      <c r="P69" s="348"/>
      <c r="Q69" s="348"/>
      <c r="R69" s="348"/>
      <c r="S69" s="348"/>
      <c r="T69" s="348"/>
      <c r="U69" s="348"/>
      <c r="V69" s="410"/>
      <c r="W69" s="348"/>
      <c r="X69" s="352">
        <f t="shared" si="0"/>
        <v>0</v>
      </c>
      <c r="Y69" s="456" t="s">
        <v>490</v>
      </c>
      <c r="Z69" s="497"/>
      <c r="AA69" s="499"/>
      <c r="AB69" s="499"/>
      <c r="AC69" s="506"/>
      <c r="AD69" s="347">
        <f>-AE69</f>
        <v>0</v>
      </c>
      <c r="AE69" s="293"/>
      <c r="AF69" s="497"/>
      <c r="AG69" s="352"/>
      <c r="AH69" s="353">
        <f t="shared" si="6"/>
        <v>0</v>
      </c>
      <c r="AI69" s="354"/>
      <c r="AJ69" s="348"/>
      <c r="AK69" s="348"/>
      <c r="AL69" s="348"/>
      <c r="AM69" s="348"/>
      <c r="AN69" s="348">
        <f>AE69</f>
        <v>0</v>
      </c>
      <c r="AO69" s="348"/>
      <c r="AP69" s="348"/>
      <c r="AQ69" s="352"/>
    </row>
    <row r="70" spans="1:43" ht="15" customHeight="1" x14ac:dyDescent="0.3">
      <c r="A70" s="348"/>
      <c r="B70" s="348"/>
      <c r="C70" s="348"/>
      <c r="D70" s="348"/>
      <c r="E70" s="348"/>
      <c r="F70" s="348"/>
      <c r="G70" s="348"/>
      <c r="H70" s="348"/>
      <c r="I70" s="348"/>
      <c r="J70" s="348"/>
      <c r="K70" s="348"/>
      <c r="L70" s="348"/>
      <c r="M70" s="348"/>
      <c r="N70" s="348"/>
      <c r="O70" s="348"/>
      <c r="P70" s="348"/>
      <c r="Q70" s="348"/>
      <c r="R70" s="348"/>
      <c r="S70" s="348"/>
      <c r="T70" s="348"/>
      <c r="U70" s="348"/>
      <c r="V70" s="348"/>
      <c r="W70" s="348"/>
      <c r="X70" s="352">
        <f t="shared" si="0"/>
        <v>0</v>
      </c>
      <c r="Y70" s="456" t="s">
        <v>491</v>
      </c>
      <c r="Z70" s="497"/>
      <c r="AA70" s="499"/>
      <c r="AB70" s="499"/>
      <c r="AC70" s="293"/>
      <c r="AD70" s="347"/>
      <c r="AE70" s="498"/>
      <c r="AF70" s="496">
        <v>-2.7</v>
      </c>
      <c r="AG70" s="461"/>
      <c r="AH70" s="353">
        <f t="shared" si="6"/>
        <v>2.7</v>
      </c>
      <c r="AI70" s="354"/>
      <c r="AJ70" s="348"/>
      <c r="AK70" s="348"/>
      <c r="AL70" s="348"/>
      <c r="AM70" s="348"/>
      <c r="AN70" s="348">
        <f>-AF70</f>
        <v>2.7</v>
      </c>
      <c r="AO70" s="348"/>
      <c r="AP70" s="348"/>
      <c r="AQ70" s="352"/>
    </row>
    <row r="71" spans="1:43" ht="15" customHeight="1" x14ac:dyDescent="0.3">
      <c r="A71" s="348"/>
      <c r="B71" s="348"/>
      <c r="C71" s="348"/>
      <c r="D71" s="348"/>
      <c r="E71" s="348"/>
      <c r="F71" s="348"/>
      <c r="G71" s="348"/>
      <c r="H71" s="348"/>
      <c r="I71" s="348"/>
      <c r="J71" s="348"/>
      <c r="K71" s="348"/>
      <c r="L71" s="348"/>
      <c r="M71" s="348"/>
      <c r="N71" s="348"/>
      <c r="O71" s="348"/>
      <c r="P71" s="410"/>
      <c r="Q71" s="348"/>
      <c r="R71" s="348"/>
      <c r="S71" s="348"/>
      <c r="T71" s="348"/>
      <c r="U71" s="348"/>
      <c r="V71" s="348"/>
      <c r="W71" s="348"/>
      <c r="X71" s="352">
        <f t="shared" si="0"/>
        <v>0</v>
      </c>
      <c r="Y71" s="121" t="s">
        <v>492</v>
      </c>
      <c r="Z71" s="497"/>
      <c r="AA71" s="499"/>
      <c r="AB71" s="499"/>
      <c r="AC71" s="293">
        <f>100-25</f>
        <v>75</v>
      </c>
      <c r="AD71" s="347"/>
      <c r="AE71" s="352"/>
      <c r="AF71" s="347">
        <f>-SUM(AF63:AF70)</f>
        <v>-30.018080000000001</v>
      </c>
      <c r="AG71" s="352">
        <f>-AF71*AC71/100</f>
        <v>22.513560000000002</v>
      </c>
      <c r="AH71" s="353">
        <f t="shared" si="6"/>
        <v>22.513560000000002</v>
      </c>
      <c r="AI71" s="354">
        <f>AG71*62.71%</f>
        <v>14.118253476000001</v>
      </c>
      <c r="AJ71" s="354">
        <f>AG71*9.72%</f>
        <v>2.1883180320000002</v>
      </c>
      <c r="AK71" s="348">
        <f>AG71*12.13%</f>
        <v>2.7308948280000003</v>
      </c>
      <c r="AL71" s="348">
        <f>AG71*7.13%</f>
        <v>1.6052168280000001</v>
      </c>
      <c r="AM71" s="348">
        <f>AG71*0%</f>
        <v>0</v>
      </c>
      <c r="AN71" s="348">
        <f>AG71*6.34%</f>
        <v>1.4273597040000001</v>
      </c>
      <c r="AO71" s="348">
        <f>AG71*1.97%</f>
        <v>0.44351713199999998</v>
      </c>
      <c r="AP71" s="348"/>
      <c r="AQ71" s="352"/>
    </row>
    <row r="72" spans="1:43" ht="15" customHeight="1" x14ac:dyDescent="0.3">
      <c r="A72" s="347"/>
      <c r="B72" s="348"/>
      <c r="C72" s="348"/>
      <c r="D72" s="410"/>
      <c r="E72" s="410"/>
      <c r="F72" s="305"/>
      <c r="G72" s="305"/>
      <c r="H72" s="305">
        <v>1328.54</v>
      </c>
      <c r="I72" s="305"/>
      <c r="J72" s="305"/>
      <c r="K72" s="305"/>
      <c r="L72" s="305"/>
      <c r="M72" s="305"/>
      <c r="N72" s="305"/>
      <c r="O72" s="305"/>
      <c r="P72" s="305"/>
      <c r="Q72" s="348"/>
      <c r="R72" s="348"/>
      <c r="S72" s="348"/>
      <c r="T72" s="348"/>
      <c r="U72" s="348"/>
      <c r="V72" s="348"/>
      <c r="W72" s="348"/>
      <c r="X72" s="352">
        <f t="shared" si="0"/>
        <v>1328.54</v>
      </c>
      <c r="Y72" s="121" t="s">
        <v>403</v>
      </c>
      <c r="Z72" s="347"/>
      <c r="AA72" s="348">
        <v>20</v>
      </c>
      <c r="AB72" s="348"/>
      <c r="AC72" s="423"/>
      <c r="AD72" s="347"/>
      <c r="AE72" s="352"/>
      <c r="AF72" s="347"/>
      <c r="AG72" s="352"/>
      <c r="AH72" s="353">
        <f t="shared" si="6"/>
        <v>265.70799999999997</v>
      </c>
      <c r="AI72" s="354"/>
      <c r="AJ72" s="348"/>
      <c r="AK72" s="348"/>
      <c r="AL72" s="348"/>
      <c r="AM72" s="348"/>
      <c r="AN72" s="348"/>
      <c r="AO72" s="348"/>
      <c r="AP72" s="348"/>
      <c r="AQ72" s="352">
        <f>X72*AA72/100</f>
        <v>265.70799999999997</v>
      </c>
    </row>
    <row r="73" spans="1:43" ht="15" customHeight="1" x14ac:dyDescent="0.3">
      <c r="A73" s="347"/>
      <c r="B73" s="348"/>
      <c r="C73" s="348"/>
      <c r="D73" s="410"/>
      <c r="E73" s="410"/>
      <c r="F73" s="305">
        <v>124.45</v>
      </c>
      <c r="G73" s="305"/>
      <c r="H73" s="305"/>
      <c r="I73" s="305"/>
      <c r="J73" s="305"/>
      <c r="K73" s="305"/>
      <c r="L73" s="305"/>
      <c r="M73" s="305"/>
      <c r="N73" s="305"/>
      <c r="O73" s="305"/>
      <c r="P73" s="305"/>
      <c r="Q73" s="348"/>
      <c r="R73" s="348"/>
      <c r="S73" s="348"/>
      <c r="T73" s="348"/>
      <c r="U73" s="348"/>
      <c r="V73" s="348"/>
      <c r="W73" s="348"/>
      <c r="X73" s="352">
        <f t="shared" si="0"/>
        <v>124.45</v>
      </c>
      <c r="Y73" s="121" t="s">
        <v>384</v>
      </c>
      <c r="Z73" s="347"/>
      <c r="AA73" s="348">
        <v>25</v>
      </c>
      <c r="AB73" s="348"/>
      <c r="AC73" s="423"/>
      <c r="AD73" s="347"/>
      <c r="AE73" s="352"/>
      <c r="AF73" s="347"/>
      <c r="AG73" s="352"/>
      <c r="AH73" s="353">
        <f t="shared" si="6"/>
        <v>31.112500000000001</v>
      </c>
      <c r="AI73" s="354"/>
      <c r="AJ73" s="348"/>
      <c r="AK73" s="348"/>
      <c r="AL73" s="348"/>
      <c r="AM73" s="348"/>
      <c r="AN73" s="348"/>
      <c r="AO73" s="348"/>
      <c r="AP73" s="348"/>
      <c r="AQ73" s="352">
        <f>X73*AA73/100</f>
        <v>31.112500000000001</v>
      </c>
    </row>
    <row r="74" spans="1:43" ht="15" customHeight="1" x14ac:dyDescent="0.3">
      <c r="A74" s="347"/>
      <c r="B74" s="348"/>
      <c r="C74" s="348"/>
      <c r="D74" s="410"/>
      <c r="E74" s="410"/>
      <c r="F74" s="305">
        <v>363.42</v>
      </c>
      <c r="G74" s="305"/>
      <c r="H74" s="305"/>
      <c r="I74" s="305"/>
      <c r="J74" s="305"/>
      <c r="K74" s="305"/>
      <c r="L74" s="305"/>
      <c r="M74" s="305"/>
      <c r="N74" s="305"/>
      <c r="O74" s="305"/>
      <c r="P74" s="305"/>
      <c r="Q74" s="348"/>
      <c r="R74" s="348"/>
      <c r="S74" s="348"/>
      <c r="T74" s="348"/>
      <c r="U74" s="348"/>
      <c r="V74" s="348"/>
      <c r="W74" s="348"/>
      <c r="X74" s="352">
        <f>SUM(A74:W74)</f>
        <v>363.42</v>
      </c>
      <c r="Y74" s="121" t="s">
        <v>385</v>
      </c>
      <c r="Z74" s="347"/>
      <c r="AA74" s="348">
        <v>25</v>
      </c>
      <c r="AB74" s="348"/>
      <c r="AC74" s="352"/>
      <c r="AD74" s="347"/>
      <c r="AE74" s="352"/>
      <c r="AF74" s="347"/>
      <c r="AG74" s="352"/>
      <c r="AH74" s="353">
        <f t="shared" si="6"/>
        <v>90.855000000000004</v>
      </c>
      <c r="AI74" s="354"/>
      <c r="AJ74" s="348"/>
      <c r="AK74" s="348"/>
      <c r="AL74" s="348"/>
      <c r="AM74" s="348"/>
      <c r="AN74" s="348"/>
      <c r="AO74" s="348"/>
      <c r="AP74" s="348"/>
      <c r="AQ74" s="352">
        <f>X74*AA74/100</f>
        <v>90.855000000000004</v>
      </c>
    </row>
    <row r="75" spans="1:43" ht="15" customHeight="1" x14ac:dyDescent="0.3">
      <c r="A75" s="347"/>
      <c r="B75" s="348"/>
      <c r="C75" s="348"/>
      <c r="D75" s="410"/>
      <c r="E75" s="410"/>
      <c r="F75" s="305">
        <v>69.930000000000007</v>
      </c>
      <c r="G75" s="305"/>
      <c r="H75" s="305"/>
      <c r="I75" s="305"/>
      <c r="J75" s="305"/>
      <c r="K75" s="305"/>
      <c r="L75" s="305"/>
      <c r="M75" s="305"/>
      <c r="N75" s="305"/>
      <c r="O75" s="305"/>
      <c r="P75" s="305"/>
      <c r="Q75" s="348"/>
      <c r="R75" s="348"/>
      <c r="S75" s="348"/>
      <c r="T75" s="348"/>
      <c r="U75" s="348"/>
      <c r="V75" s="348"/>
      <c r="W75" s="348"/>
      <c r="X75" s="352">
        <f t="shared" si="0"/>
        <v>69.930000000000007</v>
      </c>
      <c r="Y75" s="121" t="s">
        <v>386</v>
      </c>
      <c r="Z75" s="347"/>
      <c r="AA75" s="348">
        <v>33</v>
      </c>
      <c r="AB75" s="348"/>
      <c r="AC75" s="352"/>
      <c r="AD75" s="347"/>
      <c r="AE75" s="352"/>
      <c r="AF75" s="347"/>
      <c r="AG75" s="352"/>
      <c r="AH75" s="353">
        <f t="shared" si="6"/>
        <v>23.076900000000002</v>
      </c>
      <c r="AI75" s="354"/>
      <c r="AJ75" s="348"/>
      <c r="AK75" s="348"/>
      <c r="AL75" s="348"/>
      <c r="AM75" s="348"/>
      <c r="AN75" s="348"/>
      <c r="AO75" s="348"/>
      <c r="AP75" s="348"/>
      <c r="AQ75" s="352">
        <f>X75*AA75/100</f>
        <v>23.076900000000002</v>
      </c>
    </row>
    <row r="76" spans="1:43" ht="15" customHeight="1" x14ac:dyDescent="0.3">
      <c r="A76" s="347"/>
      <c r="B76" s="348"/>
      <c r="C76" s="348"/>
      <c r="D76" s="410"/>
      <c r="E76" s="410"/>
      <c r="F76" s="305">
        <v>363.75</v>
      </c>
      <c r="G76" s="305"/>
      <c r="H76" s="305"/>
      <c r="I76" s="305"/>
      <c r="J76" s="305"/>
      <c r="K76" s="305"/>
      <c r="L76" s="305"/>
      <c r="M76" s="305"/>
      <c r="N76" s="305"/>
      <c r="O76" s="305"/>
      <c r="P76" s="305"/>
      <c r="Q76" s="348"/>
      <c r="R76" s="348"/>
      <c r="S76" s="348"/>
      <c r="T76" s="348"/>
      <c r="U76" s="348"/>
      <c r="V76" s="348"/>
      <c r="W76" s="348"/>
      <c r="X76" s="352">
        <f t="shared" si="0"/>
        <v>363.75</v>
      </c>
      <c r="Y76" s="121" t="s">
        <v>387</v>
      </c>
      <c r="Z76" s="347"/>
      <c r="AA76" s="348">
        <v>33</v>
      </c>
      <c r="AB76" s="348"/>
      <c r="AC76" s="352"/>
      <c r="AD76" s="347"/>
      <c r="AE76" s="352"/>
      <c r="AF76" s="347"/>
      <c r="AG76" s="352"/>
      <c r="AH76" s="353">
        <f t="shared" si="6"/>
        <v>120.03749999999999</v>
      </c>
      <c r="AI76" s="354"/>
      <c r="AJ76" s="348"/>
      <c r="AK76" s="348"/>
      <c r="AL76" s="348"/>
      <c r="AM76" s="348"/>
      <c r="AN76" s="348"/>
      <c r="AO76" s="348"/>
      <c r="AP76" s="348"/>
      <c r="AQ76" s="352">
        <f>X76*AA76/100</f>
        <v>120.03749999999999</v>
      </c>
    </row>
    <row r="77" spans="1:43" ht="15" customHeight="1" x14ac:dyDescent="0.3">
      <c r="A77" s="347"/>
      <c r="B77" s="348"/>
      <c r="C77" s="348"/>
      <c r="D77" s="410"/>
      <c r="E77" s="410"/>
      <c r="F77" s="350">
        <v>351.73</v>
      </c>
      <c r="G77" s="305"/>
      <c r="H77" s="305"/>
      <c r="I77" s="305"/>
      <c r="J77" s="305"/>
      <c r="K77" s="305"/>
      <c r="L77" s="305"/>
      <c r="M77" s="305"/>
      <c r="N77" s="305"/>
      <c r="O77" s="305"/>
      <c r="P77" s="305"/>
      <c r="Q77" s="348"/>
      <c r="R77" s="348"/>
      <c r="S77" s="348"/>
      <c r="T77" s="348"/>
      <c r="U77" s="348"/>
      <c r="V77" s="348"/>
      <c r="W77" s="348"/>
      <c r="X77" s="352">
        <f t="shared" si="0"/>
        <v>351.73</v>
      </c>
      <c r="Y77" s="121" t="s">
        <v>388</v>
      </c>
      <c r="Z77" s="347"/>
      <c r="AA77" s="348">
        <v>33</v>
      </c>
      <c r="AB77" s="348"/>
      <c r="AC77" s="352"/>
      <c r="AD77" s="347"/>
      <c r="AE77" s="352"/>
      <c r="AF77" s="347"/>
      <c r="AG77" s="352"/>
      <c r="AH77" s="353">
        <f t="shared" si="6"/>
        <v>116.07090000000001</v>
      </c>
      <c r="AI77" s="354"/>
      <c r="AJ77" s="348"/>
      <c r="AK77" s="348"/>
      <c r="AL77" s="348"/>
      <c r="AM77" s="348"/>
      <c r="AN77" s="348"/>
      <c r="AO77" s="348"/>
      <c r="AP77" s="348">
        <f>X77*AA77%</f>
        <v>116.07090000000001</v>
      </c>
      <c r="AQ77" s="352"/>
    </row>
    <row r="78" spans="1:43" ht="15" customHeight="1" x14ac:dyDescent="0.25">
      <c r="A78" s="355"/>
      <c r="B78" s="356"/>
      <c r="C78" s="356"/>
      <c r="D78" s="357"/>
      <c r="E78" s="357"/>
      <c r="F78" s="411">
        <v>65.39</v>
      </c>
      <c r="G78" s="357"/>
      <c r="H78" s="357"/>
      <c r="I78" s="357"/>
      <c r="J78" s="357"/>
      <c r="K78" s="356"/>
      <c r="L78" s="356"/>
      <c r="M78" s="356"/>
      <c r="N78" s="356"/>
      <c r="O78" s="356"/>
      <c r="P78" s="356"/>
      <c r="Q78" s="356"/>
      <c r="R78" s="356"/>
      <c r="S78" s="356"/>
      <c r="T78" s="356"/>
      <c r="U78" s="356"/>
      <c r="V78" s="356"/>
      <c r="W78" s="356"/>
      <c r="X78" s="352">
        <f t="shared" si="0"/>
        <v>65.39</v>
      </c>
      <c r="Y78" s="123" t="s">
        <v>389</v>
      </c>
      <c r="Z78" s="355"/>
      <c r="AA78" s="348">
        <v>33</v>
      </c>
      <c r="AB78" s="356"/>
      <c r="AC78" s="359"/>
      <c r="AD78" s="347">
        <f>-AE78/$D$2%</f>
        <v>0</v>
      </c>
      <c r="AE78" s="462"/>
      <c r="AF78" s="355"/>
      <c r="AG78" s="359"/>
      <c r="AH78" s="353">
        <f t="shared" si="6"/>
        <v>21.578699999999998</v>
      </c>
      <c r="AI78" s="360"/>
      <c r="AJ78" s="356"/>
      <c r="AK78" s="356"/>
      <c r="AL78" s="356"/>
      <c r="AM78" s="356"/>
      <c r="AN78" s="356"/>
      <c r="AO78" s="356"/>
      <c r="AP78" s="356"/>
      <c r="AQ78" s="352">
        <f>X78*AA78/100+AE78*AA78%</f>
        <v>21.578699999999998</v>
      </c>
    </row>
    <row r="79" spans="1:43" ht="15" customHeight="1" x14ac:dyDescent="0.25">
      <c r="A79" s="355"/>
      <c r="B79" s="356"/>
      <c r="C79" s="356"/>
      <c r="D79" s="357"/>
      <c r="E79" s="357"/>
      <c r="F79" s="357"/>
      <c r="G79" s="412">
        <v>470.07</v>
      </c>
      <c r="H79" s="410">
        <v>2.52</v>
      </c>
      <c r="I79" s="357"/>
      <c r="J79" s="357"/>
      <c r="K79" s="356"/>
      <c r="L79" s="356"/>
      <c r="M79" s="356"/>
      <c r="N79" s="356"/>
      <c r="O79" s="356"/>
      <c r="P79" s="356"/>
      <c r="Q79" s="356"/>
      <c r="R79" s="356"/>
      <c r="S79" s="356"/>
      <c r="T79" s="356"/>
      <c r="U79" s="356"/>
      <c r="V79" s="356"/>
      <c r="W79" s="356"/>
      <c r="X79" s="352">
        <f t="shared" si="0"/>
        <v>472.59</v>
      </c>
      <c r="Y79" s="123" t="s">
        <v>390</v>
      </c>
      <c r="Z79" s="355"/>
      <c r="AA79" s="348">
        <v>33</v>
      </c>
      <c r="AB79" s="356"/>
      <c r="AC79" s="359"/>
      <c r="AD79" s="355"/>
      <c r="AE79" s="359"/>
      <c r="AF79" s="355"/>
      <c r="AG79" s="359"/>
      <c r="AH79" s="353">
        <f t="shared" si="6"/>
        <v>155.9547</v>
      </c>
      <c r="AI79" s="360"/>
      <c r="AJ79" s="356"/>
      <c r="AK79" s="356"/>
      <c r="AL79" s="356"/>
      <c r="AM79" s="356"/>
      <c r="AN79" s="356"/>
      <c r="AO79" s="356"/>
      <c r="AP79" s="356"/>
      <c r="AQ79" s="352">
        <f>X79*AA79/100</f>
        <v>155.9547</v>
      </c>
    </row>
    <row r="80" spans="1:43" ht="15" customHeight="1" thickBot="1" x14ac:dyDescent="0.3">
      <c r="A80" s="355"/>
      <c r="B80" s="356"/>
      <c r="C80" s="356"/>
      <c r="D80" s="411">
        <v>58.05</v>
      </c>
      <c r="E80" s="357"/>
      <c r="F80" s="411">
        <v>45.37</v>
      </c>
      <c r="G80" s="357"/>
      <c r="H80" s="357"/>
      <c r="I80" s="357"/>
      <c r="J80" s="357"/>
      <c r="K80" s="356"/>
      <c r="L80" s="356"/>
      <c r="M80" s="356"/>
      <c r="N80" s="356"/>
      <c r="O80" s="356"/>
      <c r="P80" s="356"/>
      <c r="Q80" s="356"/>
      <c r="R80" s="356"/>
      <c r="S80" s="356"/>
      <c r="T80" s="356"/>
      <c r="U80" s="356"/>
      <c r="V80" s="356"/>
      <c r="W80" s="356"/>
      <c r="X80" s="359">
        <f t="shared" si="0"/>
        <v>103.41999999999999</v>
      </c>
      <c r="Y80" s="329" t="s">
        <v>391</v>
      </c>
      <c r="Z80" s="361"/>
      <c r="AA80" s="348">
        <v>33</v>
      </c>
      <c r="AB80" s="362"/>
      <c r="AC80" s="363"/>
      <c r="AD80" s="361"/>
      <c r="AE80" s="363"/>
      <c r="AF80" s="361"/>
      <c r="AG80" s="363"/>
      <c r="AH80" s="364">
        <f t="shared" si="6"/>
        <v>34.128599999999999</v>
      </c>
      <c r="AI80" s="463"/>
      <c r="AJ80" s="362"/>
      <c r="AK80" s="362"/>
      <c r="AL80" s="362"/>
      <c r="AM80" s="362"/>
      <c r="AN80" s="362"/>
      <c r="AO80" s="362"/>
      <c r="AP80" s="362"/>
      <c r="AQ80" s="352">
        <f>X80*AA80/100</f>
        <v>34.128599999999999</v>
      </c>
    </row>
    <row r="81" spans="1:44" ht="15" customHeight="1" thickBot="1" x14ac:dyDescent="0.3">
      <c r="A81" s="464">
        <f t="shared" ref="A81:W81" si="9">SUM(A8:A80)</f>
        <v>2339.55625869498</v>
      </c>
      <c r="B81" s="465">
        <f t="shared" si="9"/>
        <v>152.43</v>
      </c>
      <c r="C81" s="465">
        <f t="shared" si="9"/>
        <v>0.16</v>
      </c>
      <c r="D81" s="465">
        <f t="shared" si="9"/>
        <v>178.26</v>
      </c>
      <c r="E81" s="465">
        <f t="shared" si="9"/>
        <v>2545.1000000000004</v>
      </c>
      <c r="F81" s="465">
        <f t="shared" si="9"/>
        <v>1384.04</v>
      </c>
      <c r="G81" s="465">
        <f t="shared" si="9"/>
        <v>470.07</v>
      </c>
      <c r="H81" s="465">
        <f t="shared" si="9"/>
        <v>1331.06</v>
      </c>
      <c r="I81" s="465">
        <f t="shared" si="9"/>
        <v>2068.6400000000003</v>
      </c>
      <c r="J81" s="465">
        <f t="shared" si="9"/>
        <v>17.11</v>
      </c>
      <c r="K81" s="465">
        <f t="shared" si="9"/>
        <v>56.2</v>
      </c>
      <c r="L81" s="465">
        <f t="shared" si="9"/>
        <v>1.33</v>
      </c>
      <c r="M81" s="465">
        <f t="shared" si="9"/>
        <v>0</v>
      </c>
      <c r="N81" s="465">
        <f t="shared" si="9"/>
        <v>0</v>
      </c>
      <c r="O81" s="465">
        <f t="shared" si="9"/>
        <v>6.532</v>
      </c>
      <c r="P81" s="465">
        <f t="shared" si="9"/>
        <v>0</v>
      </c>
      <c r="Q81" s="465">
        <f t="shared" si="9"/>
        <v>290.69</v>
      </c>
      <c r="R81" s="465">
        <f t="shared" si="9"/>
        <v>197.55</v>
      </c>
      <c r="S81" s="465">
        <f t="shared" si="9"/>
        <v>762.7</v>
      </c>
      <c r="T81" s="465">
        <f t="shared" si="9"/>
        <v>7.6680000000000001</v>
      </c>
      <c r="U81" s="465">
        <f t="shared" si="9"/>
        <v>0</v>
      </c>
      <c r="V81" s="465">
        <f t="shared" si="9"/>
        <v>10.5</v>
      </c>
      <c r="W81" s="465">
        <f t="shared" si="9"/>
        <v>5.44</v>
      </c>
      <c r="X81" s="466">
        <f>SUM(X8:X80)</f>
        <v>11825.036258694981</v>
      </c>
      <c r="Y81" s="365" t="s">
        <v>237</v>
      </c>
      <c r="Z81" s="395"/>
      <c r="AA81" s="395"/>
      <c r="AB81" s="395"/>
      <c r="AC81" s="395"/>
      <c r="AD81" s="464">
        <f t="shared" ref="AD81:AQ81" si="10">SUM(AD8:AD80)</f>
        <v>-1.1812772982011666E-13</v>
      </c>
      <c r="AE81" s="466">
        <f t="shared" si="10"/>
        <v>2236.7391859774211</v>
      </c>
      <c r="AF81" s="464">
        <f t="shared" si="10"/>
        <v>0</v>
      </c>
      <c r="AG81" s="466">
        <f t="shared" si="10"/>
        <v>1036.3354200000001</v>
      </c>
      <c r="AH81" s="365">
        <f t="shared" si="10"/>
        <v>7691.3069808600003</v>
      </c>
      <c r="AI81" s="467">
        <f t="shared" si="10"/>
        <v>3282.1668390820005</v>
      </c>
      <c r="AJ81" s="465">
        <f t="shared" si="10"/>
        <v>321.10988960400005</v>
      </c>
      <c r="AK81" s="465">
        <f t="shared" si="10"/>
        <v>202.08672044600004</v>
      </c>
      <c r="AL81" s="465">
        <f t="shared" si="10"/>
        <v>240.71814692600003</v>
      </c>
      <c r="AM81" s="465">
        <f t="shared" si="10"/>
        <v>13.8549612</v>
      </c>
      <c r="AN81" s="465">
        <f t="shared" si="10"/>
        <v>2481.8969742280001</v>
      </c>
      <c r="AO81" s="465">
        <f t="shared" si="10"/>
        <v>28.265807773999999</v>
      </c>
      <c r="AP81" s="465">
        <f t="shared" si="10"/>
        <v>372.40209099999998</v>
      </c>
      <c r="AQ81" s="466">
        <f t="shared" si="10"/>
        <v>748.80555060000006</v>
      </c>
    </row>
    <row r="82" spans="1:44" ht="15" customHeight="1" x14ac:dyDescent="0.35">
      <c r="A82" s="374">
        <f t="shared" ref="A82:V82" si="11">A81*A89/1000</f>
        <v>556.81438956940519</v>
      </c>
      <c r="B82" s="375">
        <f t="shared" si="11"/>
        <v>10.289024999999999</v>
      </c>
      <c r="C82" s="375">
        <f t="shared" si="11"/>
        <v>1.5040000000000001E-2</v>
      </c>
      <c r="D82" s="375">
        <f t="shared" si="11"/>
        <v>14.011235999999998</v>
      </c>
      <c r="E82" s="375">
        <f t="shared" si="11"/>
        <v>188.33740000000003</v>
      </c>
      <c r="F82" s="375">
        <f t="shared" si="11"/>
        <v>102.41896</v>
      </c>
      <c r="G82" s="375">
        <f t="shared" si="11"/>
        <v>33.845039999999997</v>
      </c>
      <c r="H82" s="375">
        <f t="shared" si="11"/>
        <v>97.167379999999994</v>
      </c>
      <c r="I82" s="375">
        <f t="shared" si="11"/>
        <v>117.70561600000001</v>
      </c>
      <c r="J82" s="375">
        <f t="shared" si="11"/>
        <v>0</v>
      </c>
      <c r="K82" s="375">
        <f t="shared" si="11"/>
        <v>0</v>
      </c>
      <c r="L82" s="375">
        <f t="shared" si="11"/>
        <v>0</v>
      </c>
      <c r="M82" s="375">
        <f t="shared" si="11"/>
        <v>0</v>
      </c>
      <c r="N82" s="375">
        <v>0</v>
      </c>
      <c r="O82" s="375">
        <f t="shared" si="11"/>
        <v>0</v>
      </c>
      <c r="P82" s="375">
        <f t="shared" si="11"/>
        <v>0</v>
      </c>
      <c r="Q82" s="375">
        <f t="shared" si="11"/>
        <v>0</v>
      </c>
      <c r="R82" s="375">
        <f t="shared" si="11"/>
        <v>0</v>
      </c>
      <c r="S82" s="375">
        <f t="shared" si="11"/>
        <v>0</v>
      </c>
      <c r="T82" s="375">
        <f t="shared" si="11"/>
        <v>0</v>
      </c>
      <c r="U82" s="375">
        <f t="shared" si="11"/>
        <v>0</v>
      </c>
      <c r="V82" s="375">
        <f t="shared" si="11"/>
        <v>0</v>
      </c>
      <c r="W82" s="375">
        <f>W81*W89/1000</f>
        <v>0.44727680000000003</v>
      </c>
      <c r="X82" s="351">
        <f>SUM(A82:W82)</f>
        <v>1121.0513633694054</v>
      </c>
      <c r="Y82" s="468" t="s">
        <v>499</v>
      </c>
      <c r="Z82" s="469">
        <f>X82*1000/D1</f>
        <v>13.38760614499278</v>
      </c>
      <c r="AA82" s="470" t="s">
        <v>393</v>
      </c>
      <c r="AB82" s="470"/>
      <c r="AC82" s="471"/>
      <c r="AD82" s="453"/>
      <c r="AE82" s="453"/>
      <c r="AF82" s="453"/>
      <c r="AG82" s="453"/>
      <c r="AH82" s="453"/>
      <c r="AI82" s="453"/>
      <c r="AJ82" s="453"/>
      <c r="AK82" s="453"/>
      <c r="AL82" s="453"/>
      <c r="AM82" s="453"/>
      <c r="AN82" s="453"/>
      <c r="AO82" s="453"/>
      <c r="AP82" s="453"/>
      <c r="AQ82" s="453"/>
    </row>
    <row r="83" spans="1:44" ht="15" customHeight="1" x14ac:dyDescent="0.3">
      <c r="A83" s="347"/>
      <c r="B83" s="348"/>
      <c r="C83" s="348"/>
      <c r="D83" s="348"/>
      <c r="E83" s="348"/>
      <c r="F83" s="348"/>
      <c r="G83" s="348"/>
      <c r="H83" s="348"/>
      <c r="I83" s="348"/>
      <c r="J83" s="348"/>
      <c r="K83" s="348"/>
      <c r="L83" s="348"/>
      <c r="M83" s="348"/>
      <c r="N83" s="348"/>
      <c r="O83" s="305">
        <v>873</v>
      </c>
      <c r="P83" s="305">
        <v>1085</v>
      </c>
      <c r="Q83" s="305">
        <v>227</v>
      </c>
      <c r="R83" s="305">
        <v>1193</v>
      </c>
      <c r="S83" s="348"/>
      <c r="T83" s="348"/>
      <c r="U83" s="348"/>
      <c r="V83" s="348"/>
      <c r="W83" s="348"/>
      <c r="X83" s="352">
        <f>SUM(A83:W83)</f>
        <v>3378</v>
      </c>
      <c r="Y83" s="353" t="s">
        <v>493</v>
      </c>
      <c r="Z83" s="472">
        <f>(SUM(J14:V14)+AD15*A87%+SUM(J19:V19)+SUM(J20:V20)+SUM(J21:V21)+SUM(J22:V22)+SUM(J25:V25)+SUM(J72:V72)+SUM(J73:V73)+SUM(J74:V74)+SUM(J75:V75)+SUM(J76:V76)+SUM(J77:V77)+SUM(J78:V78)+SUM(J79:V79)+SUM(J80:V80)+SUM(J26:V26)*(Z26%+AB26%)+SUM(J27:V27)*(Z27%+AB27%)+SUM(J28:V28)*(Z28%+AB28%)+SUM(J29:V29)*(Z29%+AB29%)+SUM(J30:V30)*(Z30%+AB30%)+SUM(J32:V32)*(Z32%+AA32%+AB32%)+SUM(J31:V31)*(AA31%)+SUM(J33:V33)*(Z33%+AB33%)+SUM(J34:V34)*(Z34%+AB34%)+SUM(J35:V35)*(Z35%+AB35%)+SUM(J36:V36)*(Z36%+AB36%)+SUM(J37:V37)+SUM(J40:V40)*(Z40%+AB40%)+SUM(J41:V41)*(Z41%+AB41%)+SUM(J42:V42)*(Z42%+AB42%)+SUM(J44:V44)*(Z44%+AB44%)+SUM(J45:V45)*(Z45%+AB45%)+SUM(J46:V46)*(Z46%+AB46%)+SUM(J47:V47)*(Z47%+AB47%)+SUM(J48:V48)+SUM(J50:V50)*(Z50%+AB50%)+SUM(J51:V51)*(Z51%+AB51%)+SUM(J53:V53)*(Z53%+AA53%+AB53%)+SUM(J54:V54)*(Z54%+AA54%+AB54%)+SUM(J56:V56)*(Z56%+AB56%)+SUM(J57:V57)+SUM(J59:V59)*(Z59%+AB59%)+SUM(J60:V60)*(Z60%+AB60%)+SUM(J61:V61)*(Z61%+AB61%)+SUM(J63:V63)*(Z63%+AB63%)+SUM(J64:V64)*(Z64%+AB64%)+SUM(J65:V65)*(Z65%+AB65%)+SUM(J66:V66)*(Z66%+AB66%)+SUM(J67:V67)*(Z67%+AB67%)+SUM(J68:V68)*(Z68%+AB68%))/(SUM(X8:X14)+SUM(X16:X25)+X32*AA32%+X53*AA53%+X54*AA54%+SUM(X72:X80)+(AG39/AC39%+AG43/AC43%+AG52/AC52%+AG55/AC55%+AG62/AC62%+AG71/AC71%)+AE81+SUM(AE8:AE14)*(1-D2%)+(-AF70))*100</f>
        <v>11.332640008085782</v>
      </c>
      <c r="AA83" s="473" t="s">
        <v>494</v>
      </c>
      <c r="AB83" s="507"/>
      <c r="AC83" s="508"/>
      <c r="AD83" s="453"/>
      <c r="AE83" s="453"/>
      <c r="AF83" s="453"/>
      <c r="AG83" s="453"/>
      <c r="AH83" s="453"/>
      <c r="AI83" s="453"/>
      <c r="AJ83" s="453"/>
      <c r="AK83" s="453"/>
      <c r="AL83" s="453"/>
      <c r="AM83" s="453"/>
      <c r="AN83" s="453"/>
      <c r="AO83" s="453"/>
      <c r="AP83" s="453"/>
      <c r="AQ83" s="453"/>
    </row>
    <row r="84" spans="1:44" ht="15" customHeight="1" thickBot="1" x14ac:dyDescent="0.35">
      <c r="A84" s="361"/>
      <c r="B84" s="362"/>
      <c r="C84" s="362"/>
      <c r="D84" s="362"/>
      <c r="E84" s="362"/>
      <c r="F84" s="362"/>
      <c r="G84" s="362"/>
      <c r="H84" s="362"/>
      <c r="I84" s="362"/>
      <c r="J84" s="362" t="str">
        <f>IF(J83&gt;0,J81/J83*100,"")</f>
        <v/>
      </c>
      <c r="K84" s="362" t="str">
        <f t="shared" ref="K84:W84" si="12">IF(K83&gt;0,K81/K83*100,"")</f>
        <v/>
      </c>
      <c r="L84" s="362" t="str">
        <f t="shared" si="12"/>
        <v/>
      </c>
      <c r="M84" s="362" t="str">
        <f t="shared" si="12"/>
        <v/>
      </c>
      <c r="N84" s="362" t="str">
        <f t="shared" si="12"/>
        <v/>
      </c>
      <c r="O84" s="362">
        <f t="shared" si="12"/>
        <v>0.74822451317296679</v>
      </c>
      <c r="P84" s="362">
        <f t="shared" si="12"/>
        <v>0</v>
      </c>
      <c r="Q84" s="362">
        <f t="shared" si="12"/>
        <v>128.05726872246697</v>
      </c>
      <c r="R84" s="362">
        <f t="shared" si="12"/>
        <v>16.559094719195308</v>
      </c>
      <c r="S84" s="362" t="str">
        <f t="shared" si="12"/>
        <v/>
      </c>
      <c r="T84" s="362" t="str">
        <f t="shared" si="12"/>
        <v/>
      </c>
      <c r="U84" s="362" t="str">
        <f t="shared" si="12"/>
        <v/>
      </c>
      <c r="V84" s="362" t="str">
        <f>IF(V83&gt;0,V81/V83*100,"")</f>
        <v/>
      </c>
      <c r="W84" s="362" t="str">
        <f t="shared" si="12"/>
        <v/>
      </c>
      <c r="X84" s="363">
        <f>SUMIF(J83:W83,"&gt;0",J81:W81)/SUM(J83:W83)%</f>
        <v>14.646891651865008</v>
      </c>
      <c r="Y84" s="364" t="s">
        <v>495</v>
      </c>
      <c r="Z84" s="509">
        <f>SUM(J81:V81)/X81*100</f>
        <v>11.418823337705501</v>
      </c>
      <c r="AA84" s="476" t="s">
        <v>496</v>
      </c>
      <c r="AB84" s="510"/>
      <c r="AC84" s="511"/>
      <c r="AD84" s="453"/>
      <c r="AE84" s="453"/>
      <c r="AF84" s="453"/>
      <c r="AG84" s="453"/>
      <c r="AH84" s="453"/>
      <c r="AI84" s="453"/>
      <c r="AJ84" s="453"/>
      <c r="AK84" s="453"/>
      <c r="AL84" s="453"/>
      <c r="AM84" s="453"/>
      <c r="AN84" s="453"/>
      <c r="AO84" s="453"/>
      <c r="AP84" s="453"/>
      <c r="AQ84" s="453"/>
    </row>
    <row r="85" spans="1:44" ht="15" customHeight="1" thickBot="1" x14ac:dyDescent="0.3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</row>
    <row r="86" spans="1:44" ht="17.25" customHeight="1" x14ac:dyDescent="0.25">
      <c r="A86" s="512" t="s">
        <v>497</v>
      </c>
      <c r="B86" s="567" t="str">
        <f t="shared" ref="B86:W86" si="13">B7</f>
        <v xml:space="preserve">  LPG og petroleum</v>
      </c>
      <c r="C86" s="567" t="str">
        <f t="shared" si="13"/>
        <v xml:space="preserve">  Kul</v>
      </c>
      <c r="D86" s="567" t="str">
        <f t="shared" si="13"/>
        <v xml:space="preserve">  Fuelolie</v>
      </c>
      <c r="E86" s="567" t="str">
        <f t="shared" si="13"/>
        <v xml:space="preserve">  Brændselsolie</v>
      </c>
      <c r="F86" s="567" t="str">
        <f t="shared" si="13"/>
        <v xml:space="preserve">  Dieselolie</v>
      </c>
      <c r="G86" s="567" t="str">
        <f t="shared" si="13"/>
        <v xml:space="preserve">  JP1</v>
      </c>
      <c r="H86" s="567" t="str">
        <f t="shared" si="13"/>
        <v xml:space="preserve">  Benzin</v>
      </c>
      <c r="I86" s="567" t="str">
        <f t="shared" si="13"/>
        <v xml:space="preserve">  Naturgas</v>
      </c>
      <c r="J86" s="567" t="str">
        <f t="shared" si="13"/>
        <v xml:space="preserve">  Vindenergi</v>
      </c>
      <c r="K86" s="567" t="str">
        <f t="shared" si="13"/>
        <v xml:space="preserve">  Vandenergi</v>
      </c>
      <c r="L86" s="567" t="str">
        <f t="shared" si="13"/>
        <v xml:space="preserve">  Solenergi</v>
      </c>
      <c r="M86" s="567" t="str">
        <f t="shared" si="13"/>
        <v xml:space="preserve">  Geotermi</v>
      </c>
      <c r="N86" s="567" t="str">
        <f t="shared" si="13"/>
        <v xml:space="preserve">  Varmekilder til varmepumper</v>
      </c>
      <c r="O86" s="567" t="str">
        <f t="shared" si="13"/>
        <v xml:space="preserve">  Husdyrsgødning</v>
      </c>
      <c r="P86" s="567" t="str">
        <f t="shared" si="13"/>
        <v xml:space="preserve">  Biobrændstof og energiafgrøder</v>
      </c>
      <c r="Q86" s="567" t="str">
        <f t="shared" si="13"/>
        <v xml:space="preserve">  Halm</v>
      </c>
      <c r="R86" s="567" t="str">
        <f t="shared" si="13"/>
        <v xml:space="preserve">  Brænde og træflis</v>
      </c>
      <c r="S86" s="567" t="str">
        <f t="shared" si="13"/>
        <v xml:space="preserve">  Træpiller og træaffald</v>
      </c>
      <c r="T86" s="567" t="str">
        <f t="shared" si="13"/>
        <v xml:space="preserve">  Organisk affald, industri</v>
      </c>
      <c r="U86" s="567" t="str">
        <f t="shared" si="13"/>
        <v xml:space="preserve">  Organisk affald, husholdninger</v>
      </c>
      <c r="V86" s="567" t="str">
        <f t="shared" si="13"/>
        <v xml:space="preserve">  Deponi, slam, renseanlæg</v>
      </c>
      <c r="W86" s="572" t="str">
        <f t="shared" si="13"/>
        <v xml:space="preserve">  Affald, ikke bionedbrydeligt</v>
      </c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</row>
    <row r="87" spans="1:44" ht="19.2" x14ac:dyDescent="0.25">
      <c r="A87" s="513">
        <v>0</v>
      </c>
      <c r="B87" s="568"/>
      <c r="C87" s="568"/>
      <c r="D87" s="568"/>
      <c r="E87" s="568"/>
      <c r="F87" s="568"/>
      <c r="G87" s="568"/>
      <c r="H87" s="568"/>
      <c r="I87" s="568"/>
      <c r="J87" s="568"/>
      <c r="K87" s="568"/>
      <c r="L87" s="568"/>
      <c r="M87" s="568"/>
      <c r="N87" s="568"/>
      <c r="O87" s="568"/>
      <c r="P87" s="568"/>
      <c r="Q87" s="568"/>
      <c r="R87" s="568"/>
      <c r="S87" s="568"/>
      <c r="T87" s="568"/>
      <c r="U87" s="568"/>
      <c r="V87" s="568"/>
      <c r="W87" s="573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  <c r="AN87" s="74"/>
      <c r="AO87" s="74"/>
      <c r="AP87" s="74"/>
      <c r="AQ87" s="74"/>
    </row>
    <row r="88" spans="1:44" ht="123" customHeight="1" thickBot="1" x14ac:dyDescent="0.3">
      <c r="A88" s="480" t="s">
        <v>498</v>
      </c>
      <c r="B88" s="569"/>
      <c r="C88" s="569"/>
      <c r="D88" s="569"/>
      <c r="E88" s="569"/>
      <c r="F88" s="569"/>
      <c r="G88" s="569"/>
      <c r="H88" s="569"/>
      <c r="I88" s="569"/>
      <c r="J88" s="569"/>
      <c r="K88" s="569"/>
      <c r="L88" s="569"/>
      <c r="M88" s="569"/>
      <c r="N88" s="569"/>
      <c r="O88" s="569"/>
      <c r="P88" s="569"/>
      <c r="Q88" s="569"/>
      <c r="R88" s="569"/>
      <c r="S88" s="569"/>
      <c r="T88" s="569"/>
      <c r="U88" s="569"/>
      <c r="V88" s="569"/>
      <c r="W88" s="5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</row>
    <row r="89" spans="1:44" s="484" customFormat="1" ht="15" customHeight="1" thickBot="1" x14ac:dyDescent="0.35">
      <c r="A89" s="481">
        <v>238</v>
      </c>
      <c r="B89" s="376">
        <v>67.5</v>
      </c>
      <c r="C89" s="376">
        <v>94</v>
      </c>
      <c r="D89" s="376">
        <v>78.599999999999994</v>
      </c>
      <c r="E89" s="376">
        <v>74</v>
      </c>
      <c r="F89" s="376">
        <v>74</v>
      </c>
      <c r="G89" s="376">
        <v>72</v>
      </c>
      <c r="H89" s="376">
        <v>73</v>
      </c>
      <c r="I89" s="376">
        <v>56.9</v>
      </c>
      <c r="J89" s="377"/>
      <c r="K89" s="377"/>
      <c r="L89" s="377"/>
      <c r="M89" s="377"/>
      <c r="N89" s="482"/>
      <c r="O89" s="377"/>
      <c r="P89" s="377"/>
      <c r="Q89" s="377"/>
      <c r="R89" s="377"/>
      <c r="S89" s="377"/>
      <c r="T89" s="377"/>
      <c r="U89" s="377"/>
      <c r="V89" s="482"/>
      <c r="W89" s="483">
        <v>82.22</v>
      </c>
      <c r="X89" s="378" t="s">
        <v>500</v>
      </c>
      <c r="Y89" s="379"/>
      <c r="Z89" s="380"/>
      <c r="AA89" s="380"/>
      <c r="AB89" s="380"/>
      <c r="AC89" s="380"/>
      <c r="AD89" s="380"/>
      <c r="AE89" s="380"/>
      <c r="AF89" s="380"/>
      <c r="AG89" s="380"/>
      <c r="AH89" s="380"/>
      <c r="AI89" s="380"/>
      <c r="AJ89" s="380"/>
      <c r="AK89" s="380"/>
      <c r="AL89" s="380"/>
      <c r="AM89" s="380"/>
      <c r="AN89" s="380"/>
      <c r="AO89" s="380"/>
      <c r="AP89" s="380"/>
      <c r="AQ89" s="380"/>
    </row>
    <row r="90" spans="1:44" x14ac:dyDescent="0.25">
      <c r="A90" s="436"/>
      <c r="B90" s="436"/>
      <c r="C90" s="436"/>
      <c r="D90" s="436"/>
      <c r="E90" s="436"/>
      <c r="F90" s="436"/>
      <c r="G90" s="436"/>
      <c r="H90" s="436"/>
      <c r="I90" s="436"/>
      <c r="J90" s="436"/>
      <c r="K90" s="436"/>
      <c r="L90" s="436"/>
      <c r="M90" s="436"/>
      <c r="N90" s="436"/>
      <c r="O90" s="436"/>
      <c r="P90" s="436"/>
      <c r="Q90" s="436"/>
      <c r="R90" s="436"/>
      <c r="S90" s="436"/>
      <c r="T90" s="436"/>
      <c r="U90" s="436"/>
      <c r="V90" s="436"/>
      <c r="W90" s="436"/>
      <c r="X90" s="436"/>
      <c r="Y90" s="436"/>
      <c r="Z90" s="436"/>
      <c r="AA90" s="436"/>
      <c r="AB90" s="436"/>
      <c r="AC90" s="436"/>
      <c r="AD90" s="436"/>
      <c r="AE90" s="436"/>
      <c r="AF90" s="436"/>
      <c r="AG90" s="436"/>
      <c r="AH90" s="436"/>
      <c r="AI90" s="436"/>
      <c r="AJ90" s="436"/>
      <c r="AK90" s="436"/>
      <c r="AL90" s="436"/>
      <c r="AM90" s="436"/>
      <c r="AN90" s="436"/>
      <c r="AO90" s="436"/>
      <c r="AP90" s="436"/>
      <c r="AQ90" s="436"/>
      <c r="AR90" s="436"/>
    </row>
    <row r="91" spans="1:44" x14ac:dyDescent="0.25">
      <c r="Y91" s="436"/>
    </row>
    <row r="92" spans="1:44" x14ac:dyDescent="0.25">
      <c r="Y92" s="74"/>
    </row>
    <row r="93" spans="1:44" ht="12.75" customHeight="1" x14ac:dyDescent="0.4">
      <c r="A93" s="485"/>
      <c r="Y93" s="436"/>
    </row>
    <row r="95" spans="1:44" x14ac:dyDescent="0.25">
      <c r="Y95" s="436"/>
    </row>
    <row r="96" spans="1:44" x14ac:dyDescent="0.25">
      <c r="Y96" s="436"/>
    </row>
  </sheetData>
  <mergeCells count="30">
    <mergeCell ref="D1:E1"/>
    <mergeCell ref="Y1:Y2"/>
    <mergeCell ref="X3:Z4"/>
    <mergeCell ref="A6:X6"/>
    <mergeCell ref="Z6:AC6"/>
    <mergeCell ref="O86:O88"/>
    <mergeCell ref="AF6:AG6"/>
    <mergeCell ref="AI6:AQ6"/>
    <mergeCell ref="B86:B88"/>
    <mergeCell ref="C86:C88"/>
    <mergeCell ref="D86:D88"/>
    <mergeCell ref="E86:E88"/>
    <mergeCell ref="F86:F88"/>
    <mergeCell ref="G86:G88"/>
    <mergeCell ref="H86:H88"/>
    <mergeCell ref="I86:I88"/>
    <mergeCell ref="AD6:AE6"/>
    <mergeCell ref="J86:J88"/>
    <mergeCell ref="K86:K88"/>
    <mergeCell ref="L86:L88"/>
    <mergeCell ref="M86:M88"/>
    <mergeCell ref="N86:N88"/>
    <mergeCell ref="V86:V88"/>
    <mergeCell ref="W86:W88"/>
    <mergeCell ref="P86:P88"/>
    <mergeCell ref="Q86:Q88"/>
    <mergeCell ref="R86:R88"/>
    <mergeCell ref="S86:S88"/>
    <mergeCell ref="T86:T88"/>
    <mergeCell ref="U86:U8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9</vt:i4>
      </vt:variant>
      <vt:variant>
        <vt:lpstr>Navngivne områder</vt:lpstr>
      </vt:variant>
      <vt:variant>
        <vt:i4>1</vt:i4>
      </vt:variant>
    </vt:vector>
  </HeadingPairs>
  <TitlesOfParts>
    <vt:vector size="10" baseType="lpstr">
      <vt:lpstr>Nøgletal</vt:lpstr>
      <vt:lpstr>Affald og spildevand</vt:lpstr>
      <vt:lpstr>Landbrug</vt:lpstr>
      <vt:lpstr>Arealanvendelse</vt:lpstr>
      <vt:lpstr>Industri</vt:lpstr>
      <vt:lpstr> Transport 2018</vt:lpstr>
      <vt:lpstr> Transport 1990</vt:lpstr>
      <vt:lpstr>Energiregnskab, 2018</vt:lpstr>
      <vt:lpstr>Energiregnskab, 1990</vt:lpstr>
      <vt:lpstr>'Energiregnskab, 2018'!Udskriftsområde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Esmar Nielsen - thom7778</dc:creator>
  <cp:lastModifiedBy>Thomas Esmar Nielsen - thom7778</cp:lastModifiedBy>
  <dcterms:created xsi:type="dcterms:W3CDTF">2015-06-05T18:19:34Z</dcterms:created>
  <dcterms:modified xsi:type="dcterms:W3CDTF">2021-08-03T13:02:26Z</dcterms:modified>
</cp:coreProperties>
</file>